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namedSheetViews/namedSheetView1.xml" ContentType="application/vnd.ms-excel.namedsheetview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hidePivotFieldList="1"/>
  <mc:AlternateContent xmlns:mc="http://schemas.openxmlformats.org/markup-compatibility/2006">
    <mc:Choice Requires="x15">
      <x15ac:absPath xmlns:x15ac="http://schemas.microsoft.com/office/spreadsheetml/2010/11/ac" url="L:\WSRD\DEMOGRAPHY\PublicSupplyAnnualReport\2024\Functional Population\"/>
    </mc:Choice>
  </mc:AlternateContent>
  <xr:revisionPtr revIDLastSave="0" documentId="8_{606E79C7-3ACC-490E-99B6-5DD9FEA9BE04}" xr6:coauthVersionLast="47" xr6:coauthVersionMax="47" xr10:uidLastSave="{00000000-0000-0000-0000-000000000000}"/>
  <bookViews>
    <workbookView xWindow="-120" yWindow="-120" windowWidth="29040" windowHeight="15720" xr2:uid="{3EE666C8-6C73-4E8D-8FA7-CEEB80B5393F}"/>
  </bookViews>
  <sheets>
    <sheet name="PopulationServed" sheetId="65" r:id="rId1"/>
    <sheet name="Index A-Residential Account" sheetId="62" r:id="rId2"/>
    <sheet name="Indexed B-Service Area Summary" sheetId="60" r:id="rId3"/>
    <sheet name="G-Functional Tourist Population" sheetId="63" r:id="rId4"/>
    <sheet name="I-Funtional Net Commuter" sheetId="64" r:id="rId5"/>
    <sheet name="REQPOP 2024" sheetId="39" r:id="rId6"/>
    <sheet name="2024Data to Complete Appendix C" sheetId="66" r:id="rId7"/>
    <sheet name="Total_DU" sheetId="67" r:id="rId8"/>
    <sheet name="Population" sheetId="68" r:id="rId9"/>
    <sheet name="2024_Lodging_by_WUP" sheetId="69" r:id="rId10"/>
  </sheets>
  <externalReferences>
    <externalReference r:id="rId11"/>
  </externalReferences>
  <definedNames>
    <definedName name="_xlnm._FilterDatabase" localSheetId="6" hidden="1">'2024Data to Complete Appendix C'!$A$7:$Q$315</definedName>
    <definedName name="_xlnm._FilterDatabase" localSheetId="8" hidden="1">Population!$B$4:$AA$4</definedName>
    <definedName name="_xlnm._FilterDatabase" localSheetId="5" hidden="1">'REQPOP 2024'!$A$6:$AC$6</definedName>
    <definedName name="_xlnm._FilterDatabase" localSheetId="7" hidden="1">Total_DU!$A$4:$Y$170</definedName>
    <definedName name="A194_">[1]Form_Feed!$GM$5:$GM$162</definedName>
    <definedName name="A195_">[1]Form_Feed!$GN$5:$GN$162</definedName>
    <definedName name="A196_">[1]Form_Feed!$GO$5:$GO$162</definedName>
    <definedName name="A197_">[1]Form_Feed!$GP$5:$GP$162</definedName>
    <definedName name="A43_">[1]Form_Feed!$AR$5:$AR$162</definedName>
    <definedName name="C_A_B">'REQPOP 2024'!$S$7:$S$228</definedName>
    <definedName name="CGRUPPOP">'REQPOP 2024'!$H$7:$H$228</definedName>
    <definedName name="CHARLOTTE_CHARLOTTE_COUNTY_UTILITIES_WUP__7104">'REQPOP 2024'!$C$11:$AC$11</definedName>
    <definedName name="CHARLOTTE_CHARLOTTE_HARBOR_WATER_ASSOC._WUP__1512">'REQPOP 2024'!$C$9:$AC$9</definedName>
    <definedName name="CHARLOTTE_CITY_OF_PUNTA_GORDA_UTILITY_DEPT_WUP__871">'REQPOP 2024'!$C$8:$AC$8</definedName>
    <definedName name="CHARLOTTE_EL_JOBEAN_WATER_ASSOC._WUP__99913">'REQPOP 2024'!$C$14:$AC$14</definedName>
    <definedName name="CHARLOTTE_GASPARILLA_ISLAND_WATER_ASSOC._WUP__718">'REQPOP 2024'!$C$7:$AC$7</definedName>
    <definedName name="CHARLOTTE_HOMEOWNERS_OF_ALLIGATOR_PARK_WUP__8626">'REQPOP 2024'!$C$13:$AC$13</definedName>
    <definedName name="CHARLOTTE_ISLAND_HARBOR_BCH_CLUB_LTD___CHAR_WUP__7768">'REQPOP 2024'!$C$12:$AC$12</definedName>
    <definedName name="CHARLOTTE_RIVERWOOD_DEVELOPMENT_WUP__99916">'REQPOP 2024'!$C$15:$AC$15</definedName>
    <definedName name="CHH">'REQPOP 2024'!$G$7:$G$228</definedName>
    <definedName name="CHOUSUNITS">'REQPOP 2024'!$I$7:$I$228</definedName>
    <definedName name="CITRUS_BREENBRIAR_ONE_OF_CITRUS_HILLS_OWNERS_ASSOCIATION_INC_WUP__9532">'REQPOP 2024'!$C$32:$AC$32</definedName>
    <definedName name="CITRUS_CITRUS_COUNTY_UTILITIES_WUP__2842">'REQPOP 2024'!$C$21:$AC$21</definedName>
    <definedName name="CITRUS_CITRUS_COUNTY_UTILITIES_WUP__6291">'REQPOP 2024'!#REF!</definedName>
    <definedName name="CITRUS_CITRUS_COUNTY_UTILITIES_WUP__7121">'REQPOP 2024'!$C$27:$AC$27</definedName>
    <definedName name="CITRUS_CITRUS_COUNTY_UTILITIES_WUP__729">'REQPOP 2024'!$C$18:$AC$18</definedName>
    <definedName name="CITRUS_CITRUS_COUNTY_UTILITIES_WUP__7295">'REQPOP 2024'!$C$28:$AC$28</definedName>
    <definedName name="CITRUS_CITRUS_COUNTY_UTILITIES_WUP__7879">'REQPOP 2024'!$C$29:$AC$29</definedName>
    <definedName name="CITRUS_CITRUS_COUNTY_UTILITIES_WUP__9791">'REQPOP 2024'!$C$33:$AC$33</definedName>
    <definedName name="CITRUS_CITY_OF_CRYSTAL_RIVER_WUP__207">'REQPOP 2024'!$C$16:$AC$16</definedName>
    <definedName name="CITRUS_CITY_OF_INVERNESS_WUP__419">'REQPOP 2024'!$C$17:$AC$17</definedName>
    <definedName name="CITRUS_CONSTATE_UTILITIES_WUP__4753">'REQPOP 2024'!$C$25:$AC$25</definedName>
    <definedName name="CITRUS_DAVID_L.__HOLLY_A.__JAMES_L.__PATRICIA_A._COOK_WUP__4008">'REQPOP 2024'!$C$22:$AC$22</definedName>
    <definedName name="CITRUS_FLORAL_CITY_WATER_ASSOCIATION_WUP__1118">'REQPOP 2024'!$C$19:$AC$19</definedName>
    <definedName name="CITRUS_GULF_HIGHWAY_LAND_CORP._WUP__6691">'REQPOP 2024'!$C$26:$AC$26</definedName>
    <definedName name="CITRUS_HOMOSASSA_SPECIAL_WATER_DISTRICT_WUP__4406">'REQPOP 2024'!$C$24:$AC$24</definedName>
    <definedName name="CITRUS_OAK_POND_LLC__A_FLORIDA_LLC_WUP__8147">'REQPOP 2024'!$C$30:$AC$30</definedName>
    <definedName name="CITRUS_OZELLO_WATER_ASSOCIATION_INC_WUP__20230">'REQPOP 2024'!$C$35:$AC$35</definedName>
    <definedName name="CITRUS_ROLLING_OAKS_UTILITIES__INC._WUP__4153">'REQPOP 2024'!$C$23:$AC$23</definedName>
    <definedName name="CITRUS_ROYAL_OAKS_OF_CITRUS_HOA_WUP__1345">'REQPOP 2024'!$C$20:$AC$20</definedName>
    <definedName name="CITRUS_TARAWOOD_OF_FLORAL_CITY_WUP__9097">'REQPOP 2024'!$C$31:$AC$31</definedName>
    <definedName name="CITRUS_WALDEN_WOODS_OF_SUGARMILL_INC._WUP__11839">'REQPOP 2024'!$C$34:$AC$34</definedName>
    <definedName name="COUNTY">'REQPOP 2024'!$A$7:$A$228</definedName>
    <definedName name="CPOPNHH">'REQPOP 2024'!$F$7:$F$228</definedName>
    <definedName name="D">'REQPOP 2024'!$Q$7:$Q$228</definedName>
    <definedName name="_xlnm.Database" localSheetId="6">'2024Data to Complete Appendix C'!$A$7:$Q$239</definedName>
    <definedName name="_xlnm.Database">#REF!</definedName>
    <definedName name="DESOTO_AQUA_UTILITIES_FLORIDA__INC._WUP__99912">'REQPOP 2024'!#REF!</definedName>
    <definedName name="DESOTO_CITY_OF_ARCADIA_WUP__4725">'REQPOP 2024'!$C$36:$AC$36</definedName>
    <definedName name="DESOTO_DESOTO_COUNTY_WUP__6841">'REQPOP 2024'!$C$37:$AC$37</definedName>
    <definedName name="DWELLTMINUS1">'REQPOP 2024'!$Y$7:$Y$228</definedName>
    <definedName name="DWELLTMINUS2">'REQPOP 2024'!$X$7:$X$228</definedName>
    <definedName name="DWELLTMINUS3">'REQPOP 2024'!$W$7:$W$228</definedName>
    <definedName name="DWELLTMINUS4">'REQPOP 2024'!$V$7:$V$228</definedName>
    <definedName name="E">'REQPOP 2024'!$R$7:$R$228</definedName>
    <definedName name="FTOURPOP">'REQPOP 2024'!$U$7:$U$228</definedName>
    <definedName name="HARDEE_CITY_OF_BOWLING_GREEN_MUNICIPAL_WUP__30">'REQPOP 2024'!$C$38:$AC$38</definedName>
    <definedName name="HARDEE_CITY_OF_WAUCHULA_WUP__4461">'REQPOP 2024'!$C$39:$AC$39</definedName>
    <definedName name="HARDEE_HARDEE_COUNTY____WAUCHULA_SPRINGS__PWS_WUP__13026">'REQPOP 2024'!$C$42:$AC$42</definedName>
    <definedName name="HARDEE_MHC_PEACE_RIVER_LLC_WUP__7022">'REQPOP 2024'!$C$40:$AC$40</definedName>
    <definedName name="HARDEE_TOWN_OF_ZOLFO_SPRINGS_WUP__7658">'REQPOP 2024'!$C$41:$AC$41</definedName>
    <definedName name="HERNANDO_CITY_OF_BROOKSVILLE_WUP__7627">'REQPOP 2024'!$C$45:$AC$45</definedName>
    <definedName name="HERNANDO_HERNANDO_COUNTY_WATER_AND_SEWER_WUP__12011">'REQPOP 2024'!#REF!</definedName>
    <definedName name="HERNANDO_HERNANDO_COUNTY_WATER_AND_SEWER_WUP__13286">'REQPOP 2024'!#REF!</definedName>
    <definedName name="HERNANDO_HERNANDO_COUNTY_WATER_AND_SEWER_WUP__2179">'REQPOP 2024'!#REF!</definedName>
    <definedName name="HERNANDO_HERNANDO_COUNTY_WATER_AND_SEWER_WUP__2983">'REQPOP 2024'!#REF!</definedName>
    <definedName name="HERNANDO_HERNANDO_COUNTY_WATER_AND_SEWER_WUP__5789">'REQPOP 2024'!$C$44:$AC$44</definedName>
    <definedName name="HERNANDO_HERNANDO_COUNTY_WATER_AND_SEWER_WUP__5817">'REQPOP 2024'!#REF!</definedName>
    <definedName name="HERNANDO_MCGIST_INC.___FRONTIER_CAMPGROUD__WUP__3720">'REQPOP 2024'!$C$43:$AC$43</definedName>
    <definedName name="HIGHLANDS_AQUA_UTILITIES_FLORIDA__INC._WUP__4167">'REQPOP 2024'!$C$46:$AC$46</definedName>
    <definedName name="HIGHLANDS_AQUA_UTILITIES_FLORIDA__INC._WUP__6456">'REQPOP 2024'!$C$52:$AC$52</definedName>
    <definedName name="HIGHLANDS_BUTTONWOOD_BAY_UTILITIES_WUP__7139">'REQPOP 2024'!$C$53:$AC$53</definedName>
    <definedName name="HIGHLANDS_CITY_OF_AVON_PARK_WUP__6029">'REQPOP 2024'!$C$51:$AC$51</definedName>
    <definedName name="HIGHLANDS_CITY_OF_SEBRING_WUP__4492">'REQPOP 2024'!$C$47:$AC$47</definedName>
    <definedName name="HIGHLANDS_COUNTRY_CLUB_UTILITIES_WUP__7704">'REQPOP 2024'!$C$54:$AC$54</definedName>
    <definedName name="HIGHLANDS_EAGLE_LAKE_ESTATES_LLC_WUP__9140">'REQPOP 2024'!$C$55:$AC$55</definedName>
    <definedName name="HIGHLANDS_HIGHLANDS_CO.__BOCC_WUP__11609">'REQPOP 2024'!#REF!</definedName>
    <definedName name="HIGHLANDS_HIGHLANDS_CO.__BOCC_WUP__6326">'REQPOP 2024'!#REF!</definedName>
    <definedName name="HIGHLANDS_LAKE_PLACID_HOLDING_CO_WUP__4980">'REQPOP 2024'!$C$49:$AC$49</definedName>
    <definedName name="HIGHLANDS_LP_UTILITIES_INC._WUP__9490">'REQPOP 2024'!$C$56:$AC$56</definedName>
    <definedName name="HIGHLANDS_MARANANTHA_BAPTIST_CHURCH_WUP__4670">'REQPOP 2024'!$C$48:$AC$48</definedName>
    <definedName name="HIGHLANDS_SILVER_LAKE_UTILITIES__INC._WUP__13367">'REQPOP 2024'!$C$58:$AC$58</definedName>
    <definedName name="HIGHLANDS_SUN_N_LAKE_OF_SEBRING_WUP__13099">'REQPOP 2024'!$C$57:$AC$57</definedName>
    <definedName name="HIGHLANDS_TOWN_OF_LAKE_PLACID_WUP__11609">'REQPOP 2024'!#REF!</definedName>
    <definedName name="HIGHLANDS_TOWN_OF_LAKE_PLACID_WUP__5270">'REQPOP 2024'!$C$50:$AC$50</definedName>
    <definedName name="HIGHLANDS_TOWN_OF_LAKE_PLACID_WUP__6326">'REQPOP 2024'!#REF!</definedName>
    <definedName name="HILLSBOROUGH_ALLIED_UTILITIES___INC._WUP__8986">'REQPOP 2024'!$C$71:$AC$71</definedName>
    <definedName name="HILLSBOROUGH_C_W_UTILITY_SYSTEMS_LLC_WUP__6879">'REQPOP 2024'!$C$67:$AC$67</definedName>
    <definedName name="HILLSBOROUGH_CHARLES_SPRINGER_WUP__2285">'REQPOP 2024'!$C$63:$AC$63</definedName>
    <definedName name="HILLSBOROUGH_CITY_OF_PLANT_CITY_UTILITIES_WUP__1776">'REQPOP 2024'!$C$60:$AC$60</definedName>
    <definedName name="HILLSBOROUGH_CITY_OF_TAMPA_WATER_DEPT_WUP__2062">'REQPOP 2024'!$C$62:$AC$62</definedName>
    <definedName name="HILLSBOROUGH_CITY_OF_TEMPLE_TERRACE_WUP__450">'REQPOP 2024'!$C$59:$AC$59</definedName>
    <definedName name="HILLSBOROUGH_HILLSBOROUGH_COUNTY_UTILITIES_WUP__20141">'REQPOP 2024'!$C$74:$AC$74</definedName>
    <definedName name="HILLSBOROUGH_LITTLE_MANATEE_ISLE_MHP_WUP__2888">'REQPOP 2024'!$C$65:$AC$65</definedName>
    <definedName name="HILLSBOROUGH_MALCO_INDUSTRIES_INC._WUP__7002">'REQPOP 2024'!$C$68:$AC$68</definedName>
    <definedName name="HILLSBOROUGH_PARADISE_LAKES_UTILITY__LLC_WUP__1787">'REQPOP 2024'!$C$61:$AC$61</definedName>
    <definedName name="HILLSBOROUGH_PLURIS_PCU_INC_WUP__12994">'REQPOP 2024'!$C$73:$AC$73</definedName>
    <definedName name="HILLSBOROUGH_RIVERSIDE_GOLF_COURSE_COMM_LLC_WUP__7637">'REQPOP 2024'!$C$69:$AC$69</definedName>
    <definedName name="HILLSBOROUGH_UNIPROP_INCOME_FUND_II__PARADISE_VILLAGE__WUP__7790">'REQPOP 2024'!$C$70:$AC$70</definedName>
    <definedName name="HILLSBOROUGH_UTILITIES__INC._WUP__2707">'REQPOP 2024'!$C$64:$AC$64</definedName>
    <definedName name="HILLSBOROUGH_WILDER_CORPORATION_WUP__4757">'REQPOP 2024'!$C$66:$AC$66</definedName>
    <definedName name="HILLSBOROUGH_WINDEMERE_UTILITY_COMPANY_WUP__10443">'REQPOP 2024'!$C$72:$AC$72</definedName>
    <definedName name="index">PopulationServed!$I$1</definedName>
    <definedName name="LEVY_CITY_OF_WILLISTON_WUP__5640">'REQPOP 2024'!$C$75:$AC$75</definedName>
    <definedName name="LEVY_OAK_AVENUE_WATER_SYSTEM_WUP__7825">'REQPOP 2024'!$C$77:$AC$77</definedName>
    <definedName name="LEVY_TOWN_OF_INGLIS_WUP__8953">'REQPOP 2024'!$C$78:$AC$78</definedName>
    <definedName name="LEVY_TOWN_OF_YANKEETOWN_WUP__7755">'REQPOP 2024'!$C$76:$AC$76</definedName>
    <definedName name="MANATEE_CITY_OF_BRADENTON_PUBLIC_WORKS_WUP__6392">'REQPOP 2024'!$C$79:$AC$79</definedName>
    <definedName name="MANATEE_CITY_OF_PALMETTO_PUBLIC_WORKS_WUP__12443">'REQPOP 2024'!$C$81:$AC$81</definedName>
    <definedName name="MANATEE_MANATEE_CO_PUBLIC_WORKS_DPT_WUP__13343">'REQPOP 2024'!$C$82:$AC$82</definedName>
    <definedName name="MANATEE_TOWN_OF_LONGBOAT_KEY_WUP__10963">'REQPOP 2024'!$C$80:$AC$80</definedName>
    <definedName name="MARION_BAY_LAUREL_CENTER_COMMUNITY_DEVELOPMENT_DISTRICT_WUP__1156">'REQPOP 2024'!$C$83:$U$83</definedName>
    <definedName name="MARION_CENTURY_FAIRFIELD_VILLAGE_LTD_WUP__8005">'REQPOP 2024'!$C$92:$AC$92</definedName>
    <definedName name="MARION_CITY_OF_DUNNELLON_WUP__20213">'REQPOP 2024'!$C$99:$AC$99</definedName>
    <definedName name="MARION_CITY_OF_DUNNELLON_WUP__8339">'REQPOP 2024'!$C$94:$AC$94</definedName>
    <definedName name="MARION_FOXWOOD_MOBILE_HOME_PARK_WUP__5731">'REQPOP 2024'!$C$86:$AC$86</definedName>
    <definedName name="MARION_MARION_COUNTY_UTILITIES_WUP__6151">'REQPOP 2024'!$C$88:$AC$88</definedName>
    <definedName name="MARION_MARION_LANDING_HOMEOWNERS_WUP__8020">'REQPOP 2024'!$C$93:$AC$93</definedName>
    <definedName name="MARION_MARION_UTILITIES_INC._WUP__2999">'REQPOP 2024'!$C$84:$AC$84</definedName>
    <definedName name="MARION_MARION_UTILITIES_INC._WUP__6574">'REQPOP 2024'!$C$89:$AC$89</definedName>
    <definedName name="MARION_MARION_UTILITIES_INC._WUP__7849">'REQPOP 2024'!$C$91:$AC$91</definedName>
    <definedName name="MARION_MARION_UTILITIES_INC._WUP__8481">'REQPOP 2024'!$C$95:$AC$95</definedName>
    <definedName name="MARION_ON_TOP_OF_THE_WORLD_INC._WUP__1156">'REQPOP 2024'!$C$83:$AC$83</definedName>
    <definedName name="MARION_SATAKE_VILLAGE_UTILITIES_WUP__20098">'REQPOP 2024'!$C$98:$AC$98</definedName>
    <definedName name="MARION_SOUTH_DUNNELLON_WATER_ASSOCIATION_WUP__10966">'REQPOP 2024'!$C$97:$AC$97</definedName>
    <definedName name="MARION_SUN_COMMUNITIES___SADDLE_OAK_CLUB_MHC_WUP__6792">'REQPOP 2024'!$C$90:$AC$90</definedName>
    <definedName name="MARION_SWEETWATER_OAKS_LTD_WUP__9425">'REQPOP 2024'!$C$96:$AC$96</definedName>
    <definedName name="MARION_UTILITIES__INC._WUP__5643">'REQPOP 2024'!$C$85:$AC$85</definedName>
    <definedName name="MARION_WINDSTREAM_UTILITIES_WUP__9360">'REQPOP 2024'!#REF!</definedName>
    <definedName name="PASCO_AQUA_UTILITIES_FLORIDA__INC._WUP__11082">'REQPOP 2024'!$C$133:$AC$133</definedName>
    <definedName name="PASCO_AQUA_UTILITIES_FLORIDA__INC._WUP__279">'REQPOP 2024'!$C$100:$AC$100</definedName>
    <definedName name="PASCO_AQUA_UTILITIES_FLORIDA__INC._WUP__3759">'REQPOP 2024'!$C$115:$AC$115</definedName>
    <definedName name="PASCO_ARBOR_OAKS__MINK_ASSOC.__WUP__99906">'REQPOP 2024'!$C$135:$AC$135</definedName>
    <definedName name="PASCO_C.S._WATER_CO._INC._WUP__964">'REQPOP 2024'!$C$105:$AC$105</definedName>
    <definedName name="PASCO_CAV._HOMEOWNERS_COOPERATIVE__INC._WUP__7588">'REQPOP 2024'!$C$126:$AC$126</definedName>
    <definedName name="PASCO_CITY_OF_DADE_CITY_WUP__1631">'REQPOP 2024'!$C$106:$AC$106</definedName>
    <definedName name="PASCO_CITY_OF_NEW_PORT_RICHEY_WUP__4734">'REQPOP 2024'!$C$119:$AC$119</definedName>
    <definedName name="PASCO_CITY_OF_PORT_RICHEY_WUP__3692">'REQPOP 2024'!$C$114:$AC$114</definedName>
    <definedName name="PASCO_CITY_OF_SAN_ANTONIO_WUP__4550">'REQPOP 2024'!$C$116:$AC$116</definedName>
    <definedName name="PASCO_CITY_OF_ZEPHYRHILLS_WUP__6040">'REQPOP 2024'!$C$121:$AC$121</definedName>
    <definedName name="PASCO_COUNTRY_AIRE_SERVICE_CORPORATION_WUP__3619">'REQPOP 2024'!$C$112:$AC$112</definedName>
    <definedName name="PASCO_CRESTRIDGE_UTILITY_CORPORATION_WUP__543">'REQPOP 2024'!$C$102:$AC$102</definedName>
    <definedName name="PASCO_FLORIDA_GOVERNMENTAL_UTILITY_AUTHORITY_WUP__2319">'REQPOP 2024'!$C$107:$AC$107</definedName>
    <definedName name="PASCO_FLORIDA_GOVERNMENTAL_UTILITY_AUTHORITY_WUP__2978">'REQPOP 2024'!$C$108:$AC$108</definedName>
    <definedName name="PASCO_FLORIDA_GOVERNMENTAL_UTILITY_AUTHORITY_WUP__3182">'REQPOP 2024'!$C$109:$AC$109</definedName>
    <definedName name="PASCO_FLORIDA_GOVERNMENTAL_UTILITY_AUTHORITY_WUP__3677">'REQPOP 2024'!$C$113:$AC$113</definedName>
    <definedName name="PASCO_FLORIDA_GOVERNMENTAL_UTILITY_AUTHORITY_WUP__590">'REQPOP 2024'!$C$103:$AC$103</definedName>
    <definedName name="PASCO_FLORIDA_GOVERNMENTAL_UTILITY_AUTHORITY_WUP__6223">'REQPOP 2024'!$C$122:$AC$122</definedName>
    <definedName name="PASCO_FLORIDA_GOVERNMENTAL_UTILITY_AUTHORITY_WUP__7718">'REQPOP 2024'!$C$127:$AC$127</definedName>
    <definedName name="PASCO_FLORIDA_GOVERNMENTAL_UTILITY_AUTHORITY_WUP__7745">'REQPOP 2024'!$C$128:$AC$128</definedName>
    <definedName name="PASCO_FLORIDA_GOVERNMENTAL_UTILITY_AUTHORITY_WUP__7999">'REQPOP 2024'!$C$129:$AC$129</definedName>
    <definedName name="PASCO_FLORIDA_GOVERNMENTAL_UTILITY_AUTHORITY_WUP__8417">'REQPOP 2024'!$C$130:$AC$130</definedName>
    <definedName name="PASCO_GEM_ESTATES_WUP__6640">'REQPOP 2024'!$C$123:$AC$123</definedName>
    <definedName name="PASCO_HACIENDA_UTILITIES_LTD_WUP__5953">'REQPOP 2024'!$C$120:$AC$120</definedName>
    <definedName name="PASCO_HOLIDAY_GARDENS_UTILITIES__INC._WUP__540">'REQPOP 2024'!$C$101:$AC$101</definedName>
    <definedName name="PASCO_HUDSON_WATER_WORKS__INC._WUP__4669">'REQPOP 2024'!$C$118:$AC$118</definedName>
    <definedName name="PASCO_JEFFERY_A._COLE_WUP__6982">'REQPOP 2024'!$C$125:$AC$125</definedName>
    <definedName name="PASCO_L.W.V._UTILITIES__INC._WUP__7299">'REQPOP 2024'!#REF!</definedName>
    <definedName name="PASCO_ORANGEWOOD_LAKES_MOBILE_HOME_WUP__2043">'REQPOP 2024'!#REF!</definedName>
    <definedName name="PASCO_ORCHID_LAKE_UTILITIES_WUP__99915">'REQPOP 2024'!$C$136:$AC$136</definedName>
    <definedName name="PASCO_PARRISH_PROPERTIES_V_LLC_WUP__8491">'REQPOP 2024'!$C$131:$AC$131</definedName>
    <definedName name="PASCO_PASCO_COUNTY_UTILITIES_WUP__11863">'REQPOP 2024'!$C$134:$AC$134</definedName>
    <definedName name="PASCO_SOUTHFORK_MOBILE_HOME_COMM_WUP__9666">'REQPOP 2024'!$C$132:$AC$132</definedName>
    <definedName name="PASCO_TIPPECANOE_VILLAGE_HOMEOWNERS_WUP__3528">'REQPOP 2024'!$C$110:$AC$110</definedName>
    <definedName name="PASCO_TRAVLERS_REST_RESORT_INC._WUP__923">'REQPOP 2024'!$C$104:$AC$104</definedName>
    <definedName name="PASCO_UTILITIES__INC._WUP__3590">'REQPOP 2024'!$C$111:$AC$111</definedName>
    <definedName name="PASCO_UTILITIES__INC._WUP__3668">'REQPOP 2024'!#REF!</definedName>
    <definedName name="PASCO_UTILITIES__INC._WUP__4668">'REQPOP 2024'!$C$117:$AC$117</definedName>
    <definedName name="PASCO_UTILITIES__INC._WUP__6867">'REQPOP 2024'!$C$124:$AC$124</definedName>
    <definedName name="PERMPPH">'REQPOP 2024'!$J$7:$J$228</definedName>
    <definedName name="PINELLAS_CITY_OF_CLEARWATER_WATER_DIV_WUP__2981">'REQPOP 2024'!$C$139:$AC$139</definedName>
    <definedName name="PINELLAS_CITY_OF_DUNEDIN_WUP__2980">'REQPOP 2024'!$C$138:$AC$138</definedName>
    <definedName name="PINELLAS_CITY_OF_GULFPORT_WUP__10795">'REQPOP 2024'!$C$142:$AC$142</definedName>
    <definedName name="PINELLAS_CITY_OF_OLDSMAR_WUP__11218">'REQPOP 2024'!$C$143:$AC$143</definedName>
    <definedName name="PINELLAS_CITY_OF_PINELLAS_PARK_WUP__12351">'REQPOP 2024'!$C$145:$AC$145</definedName>
    <definedName name="PINELLAS_CITY_OF_SAFETY_HARBOR_WUP__11245">'REQPOP 2024'!$C$144:$AC$144</definedName>
    <definedName name="PINELLAS_CITY_OF_ST._PETERSBURG_WUP__20143">'REQPOP 2024'!$C$147:$AC$147</definedName>
    <definedName name="PINELLAS_CITY_OF_TARPON_SPRINGS_WUP__742">'REQPOP 2024'!$C$137:$AC$137</definedName>
    <definedName name="PINELLAS_PINELLAS_COUNTY_UTILITIES_WUP__20142">'REQPOP 2024'!$C$146:$AC$146</definedName>
    <definedName name="PINELLAS_TOWN_OF_BELLEAIR_WUP__7692">'REQPOP 2024'!$C$140:$AC$140</definedName>
    <definedName name="PINELLAS_UTILITIES__INC._WUP__10350">'REQPOP 2024'!$C$141:$AC$141</definedName>
    <definedName name="POLK_ALAFIA_PRESERVE__EAGLE_RIDGE__AND_DONALDSON_KNOLL_WUP__12964">'REQPOP 2024'!$C$205:$AC$205</definedName>
    <definedName name="POLK_AQUA_UTILITIES_FLORIDA__INC._WUP__7653">'REQPOP 2024'!$C$187:$AC$187</definedName>
    <definedName name="POLK_AQUA_UTILITIES_FLORIDA__INC._WUP__7878">'REQPOP 2024'!$C$188:$AC$188</definedName>
    <definedName name="POLK_AQUA_UTILITIES_FLORIDA__INC._WUP__9336">'REQPOP 2024'!$C$198:$AC$198</definedName>
    <definedName name="POLK_CAREFREE_RV_COUNTRY_CLUB_WUP__7328">'REQPOP 2024'!$C$184:$AC$184</definedName>
    <definedName name="POLK_CHCVII__LAKE_HENRY_MHP_WUP__7187">'REQPOP 2024'!$C$183:$AC$183</definedName>
    <definedName name="POLK_CITY_OF_AUBURNDALE_WUP__7119">'REQPOP 2024'!$C$181:$AC$181</definedName>
    <definedName name="POLK_CITY_OF_BARTOW_WUP__341">'REQPOP 2024'!$C$149:$AC$149</definedName>
    <definedName name="POLK_CITY_OF_DAVENPORT_WUP__5750">'REQPOP 2024'!$C$166:$AC$166</definedName>
    <definedName name="POLK_CITY_OF_EAGLE_LAKE_WUP__6920">'REQPOP 2024'!$C$180:$AC$180</definedName>
    <definedName name="POLK_CITY_OF_FORT_MEADE_WUP__645">'REQPOP 2024'!$C$151:$AC$151</definedName>
    <definedName name="POLK_CITY_OF_FROSTPROOF_WUP__5870">'REQPOP 2024'!$C$168:$AC$168</definedName>
    <definedName name="POLK_CITY_OF_HAINES_CITY_WUP__8522">'REQPOP 2024'!$C$194:$AC$194</definedName>
    <definedName name="POLK_CITY_OF_LAKE_ALFRED_WUP__6624">'REQPOP 2024'!$C$178:$AC$178</definedName>
    <definedName name="POLK_CITY_OF_LAKE_WALES_WUP__4658">'REQPOP 2024'!$C$163:$AC$163</definedName>
    <definedName name="POLK_CITY_OF_LAKELAND_ELECTRIC_AND_WATER_WUP__4912">'REQPOP 2024'!$C$164:$AC$164</definedName>
    <definedName name="POLK_CITY_OF_MULBERRY_WUP__6124">'REQPOP 2024'!$C$170:$AC$170</definedName>
    <definedName name="POLK_CITY_OF_POLK_CITY_WUP__8468">'REQPOP 2024'!$C$193:$AC$193</definedName>
    <definedName name="POLK_CITY_OF_WINTER_HAVEN_WUP__4607">'REQPOP 2024'!$C$162:$AC$162</definedName>
    <definedName name="POLK_CMH_PARKS_INC_WUP__4441">'REQPOP 2024'!$C$161:$AC$161</definedName>
    <definedName name="POLK_CMH_PARKS_INC_WUP__7333">'REQPOP 2024'!$C$185:$AC$185</definedName>
    <definedName name="POLK_FOUR_LAKES_MOBILE_HOME_PARK_WUP__1625">'REQPOP 2024'!$C$153:$AC$153</definedName>
    <definedName name="POLK_GRENELEFE_RESORT_UTILITY__INC._WUP__5251">'REQPOP 2024'!$C$165:$AC$165</definedName>
    <definedName name="POLK_KEEN_UTILITIES_WUP__2083">'REQPOP 2024'!$C$154:$AC$154</definedName>
    <definedName name="POLK_KEEN_UTILITIES_WUP__3214">'REQPOP 2024'!$C$158:$AC$158</definedName>
    <definedName name="POLK_KEEN_UTILITIES_WUP__6679">'REQPOP 2024'!$C$179:$AC$179</definedName>
    <definedName name="POLK_KEEN_UTILITIES_WUP__9569">'REQPOP 2024'!$C$200:$AC$200</definedName>
    <definedName name="POLK_LAKE_REGION_MOBILE_HOMEOWNERS_WUP__1616">'REQPOP 2024'!$C$152:$AC$152</definedName>
    <definedName name="POLK_LAKEMONT_RIDGE_LLC_WUP__7557">'REQPOP 2024'!$C$186:$AC$186</definedName>
    <definedName name="POLK_LELYNN_RV_RESORT_WUP__587">'REQPOP 2024'!$C$150:$AC$150</definedName>
    <definedName name="POLK_MOUNTAIN_LAKE_CORPORATION_WUP__143">'REQPOP 2024'!$C$148:$AC$148</definedName>
    <definedName name="POLK_MOUSE_MOUNTAIN_RV_RESORT_WUP__8285">'REQPOP 2024'!$C$190:$AC$190</definedName>
    <definedName name="POLK_ORCHID_SPRINGS_DEVELOPMENT_WUP__3415">'REQPOP 2024'!$C$159:$AC$159</definedName>
    <definedName name="POLK_PARK_WATER_COMPANY_WUP__4005">'REQPOP 2024'!$C$160:$AC$160</definedName>
    <definedName name="POLK_PINECREST_RANCHES_WUP__9128">'REQPOP 2024'!$C$197:$AC$197</definedName>
    <definedName name="POLK_PLANTATION_LANDINGS_MHP_WUP__8753">'REQPOP 2024'!$C$195:$AC$195</definedName>
    <definedName name="POLK_POLK_COUNTY_UTILITIES_WUP__10141">'REQPOP 2024'!$C$203:$AC$203</definedName>
    <definedName name="POLK_POLK_COUNTY_UTILITIES_WUP__6505">'REQPOP 2024'!$C$173:$AC$173</definedName>
    <definedName name="POLK_POLK_COUNTY_UTILITIES_WUP__6506">'REQPOP 2024'!$C$174:$AC$174</definedName>
    <definedName name="POLK_POLK_COUNTY_UTILITIES_WUP__6507">'REQPOP 2024'!$C$175:$AC$175</definedName>
    <definedName name="POLK_POLK_COUNTY_UTILITIES_WUP__6508">'REQPOP 2024'!$C$176:$AC$176</definedName>
    <definedName name="POLK_POLK_COUNTY_UTILITIES_WUP__6509">'REQPOP 2024'!$C$177:$AC$177</definedName>
    <definedName name="POLK_POLK_COUNTY_UTILITIES_WUP__8054">'REQPOP 2024'!$C$189:$AC$189</definedName>
    <definedName name="POLK_S._V._UTILITIES__LTD._WUP__8344">'REQPOP 2024'!$C$191:$AC$191</definedName>
    <definedName name="POLK_SADDLEBAG_LAKE_OWNERS_WUP__6174">'REQPOP 2024'!$C$171:$AC$171</definedName>
    <definedName name="POLK_SCENIC_VIEW_MOBILE_HOME_PARK_WUP__2410">'REQPOP 2024'!$C$156:$AC$156</definedName>
    <definedName name="POLK_SKYVIEW_UTILITIES_WUP__99905">'REQPOP 2024'!$C$207:$AC$207</definedName>
    <definedName name="POLK_SPRV_LTD_WUP__9557">'REQPOP 2024'!$C$199:$AC$199</definedName>
    <definedName name="POLK_SWEETWATER_CO_OP_WUP__8967">'REQPOP 2024'!$C$196:$AC$196</definedName>
    <definedName name="POLK_SWEETWATER_EAST_INVESTMENT_CO_WUP__2449">'REQPOP 2024'!$C$157:$AC$157</definedName>
    <definedName name="POLK_TEVALO_INC_WUP__7172">'REQPOP 2024'!$C$182:$AC$182</definedName>
    <definedName name="POLK_THREE_WORLDS_LIMITED_PARTNERSHIP_WUP__8399">'REQPOP 2024'!$C$192:$AC$192</definedName>
    <definedName name="POLK_TOWN_OF_DUNDEE_WUP__5893">'REQPOP 2024'!$C$169:$AC$169</definedName>
    <definedName name="POLK_TOWN_OF_LAKE_HAMILTON_WUP__2332">'REQPOP 2024'!$C$155:$AC$155</definedName>
    <definedName name="POLK_UTILITIES__INC._WUP__13043">'REQPOP 2024'!$C$206:$AC$206</definedName>
    <definedName name="POLK_VAN_LAKES_HOMEOWNERS_ASSOCIATION_WUP__9835">'REQPOP 2024'!$C$202:$AC$202</definedName>
    <definedName name="POLK_VILLAGE_OF_HIGHLAND_PARK_WUP__9807">'REQPOP 2024'!$C$201:$AC$201</definedName>
    <definedName name="POLK_WHISPERING_PINES_OF_FROSTPROOF_LLC_WUP__6208">'REQPOP 2024'!$C$172:$AC$172</definedName>
    <definedName name="POPTMINUS1">'REQPOP 2024'!$AC$7:$AC$228</definedName>
    <definedName name="POPTMINUS2">'REQPOP 2024'!$AB$7:$AB$228</definedName>
    <definedName name="POPTMINUS3">'REQPOP 2024'!$AA$7:$AA$228</definedName>
    <definedName name="POPTMINUS4">'REQPOP 2024'!$Z$7:$Z$228</definedName>
    <definedName name="_xlnm.Print_Area" localSheetId="3">'G-Functional Tourist Population'!$A$1:$G$100</definedName>
    <definedName name="_xlnm.Print_Area" localSheetId="1">'Index A-Residential Account'!$A$1:$M$58</definedName>
    <definedName name="_xlnm.Print_Area" localSheetId="0">PopulationServed!$A$1:$I$75</definedName>
    <definedName name="_xlnm.Print_Titles" localSheetId="3">'G-Functional Tourist Population'!$1:$6</definedName>
    <definedName name="ROOMS">'REQPOP 2024'!$T$7:$T$227</definedName>
    <definedName name="SARASOTA_AQUA_UTILITIES_FLORIDA__INC._WUP__11748">'REQPOP 2024'!#REF!</definedName>
    <definedName name="SARASOTA_CAMELOT_COMMUNITIES_MHP_LLC_WUP__5807">'REQPOP 2024'!$C$213:$AC$213</definedName>
    <definedName name="SARASOTA_CITY_OF_NORTH_PORT_WUP__2923">'REQPOP 2024'!$C$208:$AC$208</definedName>
    <definedName name="SARASOTA_CITY_OF_SARASOTA_WUP__4318">'REQPOP 2024'!$C$209:$AC$209</definedName>
    <definedName name="SARASOTA_CITY_OF_VENICE_WUP__5393">'REQPOP 2024'!$C$211:$AC$211</definedName>
    <definedName name="SARASOTA_ENGLEWOOD_WATER_DISTRICT_WUP__4866">'REQPOP 2024'!$C$210:$AC$210</definedName>
    <definedName name="SARASOTA_JEROME___FREDERICK_ELLIS_WUP__5456">'REQPOP 2024'!$C$212:$AC$212</definedName>
    <definedName name="SARASOTA_PALMER_ENTERPRISES_WUP__9638">'REQPOP 2024'!#REF!</definedName>
    <definedName name="SARASOTA_PLURIS_SOUTH_GATE_UTILITIES_WUP__99914">'REQPOP 2024'!$C$216:$AC$216</definedName>
    <definedName name="SARASOTA_ROYALTY_RESORTS_CORPORATION_WUP__7448">'REQPOP 2024'!$C$214:$AC$214</definedName>
    <definedName name="SARASOTA_SARASOTA_COUNTY_BOCC_UTILITIES_DEPARTMENT_WUP__8836">'REQPOP 2024'!$C$215:$AC$215</definedName>
    <definedName name="SEARCH_FIELD">'REQPOP 2024'!$C$7:$AC$227</definedName>
    <definedName name="SEAS_TOTHH">'REQPOP 2024'!$N$7:$N$228</definedName>
    <definedName name="SEASADJ">'REQPOP 2024'!$P$7:$P$228</definedName>
    <definedName name="SEASHH">'REQPOP 2024'!$M$7:$M$228</definedName>
    <definedName name="SEASPPH">'REQPOP 2024'!$K$7:$K$228</definedName>
    <definedName name="SEASPROP">'REQPOP 2024'!$O$7:$O$228</definedName>
    <definedName name="SEASRR">'REQPOP 2024'!$L$7:$L$228</definedName>
    <definedName name="SUMTER_CEDAR_ACRES_INC._WUP__7799">'REQPOP 2024'!$C$220:$AC$220</definedName>
    <definedName name="SUMTER_CITY_OF_BUSHNELL_WUP__6519">'REQPOP 2024'!$C$218:$AC$218</definedName>
    <definedName name="SUMTER_CITY_OF_CENTER_HILL_WUP__8193">'REQPOP 2024'!$C$222:$AC$222</definedName>
    <definedName name="SUMTER_CITY_OF_COLEMAN_WUP__10488">'REQPOP 2024'!$C$223:$AC$223</definedName>
    <definedName name="SUMTER_CITY_OF_WEBSTER_WUP__7185">'REQPOP 2024'!$C$219:$AC$219</definedName>
    <definedName name="SUMTER_CITY_OF_WILDWOOD_WUP__8135">'REQPOP 2024'!$C$221:$AC$221</definedName>
    <definedName name="SUMTER_CONTINENTAL_COUNTRY_CLUB_WUP__2622">'REQPOP 2024'!#REF!</definedName>
    <definedName name="SUMTER_FLORIDA_GRANDE_MOTOR_COACH_RESORT_WUP__13123">'REQPOP 2024'!$C$227:$AC$227</definedName>
    <definedName name="SUMTER_GIBSON_PLACE_UTILITY_COMPANY_LLC_WUP__20901">'REQPOP 2024'!$228:$228</definedName>
    <definedName name="SUMTER_LAKE_PANASOFFKEE_WATER_ASSOCIATION_WUP__1368">'REQPOP 2024'!$C$217:$AC$217</definedName>
    <definedName name="SUMTER_THE_VILLAGES_COMBINED_WUP__13005">'REQPOP 2024'!$C$225:$AC$225</definedName>
    <definedName name="UniqueID">'REQPOP 2024'!$A$7:$S$228</definedName>
    <definedName name="Utility_Name">'REQPOP 2024'!$C$7:$C$228</definedName>
    <definedName name="WUP">'REQPOP 2024'!$D$7:$D$228</definedName>
    <definedName name="Year">'REQPOP 2024'!$E$7:$E$228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7" i="39" l="1"/>
  <c r="G7" i="39"/>
  <c r="H7" i="39"/>
  <c r="I7" i="39"/>
  <c r="J7" i="39"/>
  <c r="K7" i="39"/>
  <c r="L7" i="39"/>
  <c r="M7" i="39"/>
  <c r="N7" i="39"/>
  <c r="O7" i="39"/>
  <c r="P7" i="39"/>
  <c r="Q7" i="39"/>
  <c r="R7" i="39"/>
  <c r="S7" i="39"/>
  <c r="T8" i="39"/>
  <c r="T9" i="39"/>
  <c r="T10" i="39"/>
  <c r="T11" i="39"/>
  <c r="T12" i="39"/>
  <c r="T13" i="39"/>
  <c r="T14" i="39"/>
  <c r="T15" i="39"/>
  <c r="T16" i="39"/>
  <c r="T17" i="39"/>
  <c r="T18" i="39"/>
  <c r="T19" i="39"/>
  <c r="T20" i="39"/>
  <c r="T21" i="39"/>
  <c r="T22" i="39"/>
  <c r="T23" i="39"/>
  <c r="T24" i="39"/>
  <c r="T25" i="39"/>
  <c r="T26" i="39"/>
  <c r="T27" i="39"/>
  <c r="T28" i="39"/>
  <c r="T29" i="39"/>
  <c r="T30" i="39"/>
  <c r="T31" i="39"/>
  <c r="T32" i="39"/>
  <c r="T33" i="39"/>
  <c r="T34" i="39"/>
  <c r="T35" i="39"/>
  <c r="T36" i="39"/>
  <c r="T37" i="39"/>
  <c r="T38" i="39"/>
  <c r="T39" i="39"/>
  <c r="T40" i="39"/>
  <c r="T41" i="39"/>
  <c r="T42" i="39"/>
  <c r="T43" i="39"/>
  <c r="T44" i="39"/>
  <c r="T45" i="39"/>
  <c r="T46" i="39"/>
  <c r="T47" i="39"/>
  <c r="T48" i="39"/>
  <c r="T49" i="39"/>
  <c r="T50" i="39"/>
  <c r="T51" i="39"/>
  <c r="T52" i="39"/>
  <c r="T53" i="39"/>
  <c r="T54" i="39"/>
  <c r="T55" i="39"/>
  <c r="T56" i="39"/>
  <c r="T57" i="39"/>
  <c r="T58" i="39"/>
  <c r="T59" i="39"/>
  <c r="T60" i="39"/>
  <c r="T61" i="39"/>
  <c r="T62" i="39"/>
  <c r="T63" i="39"/>
  <c r="T64" i="39"/>
  <c r="T65" i="39"/>
  <c r="T66" i="39"/>
  <c r="T67" i="39"/>
  <c r="T68" i="39"/>
  <c r="T69" i="39"/>
  <c r="T70" i="39"/>
  <c r="T71" i="39"/>
  <c r="T72" i="39"/>
  <c r="T73" i="39"/>
  <c r="T74" i="39"/>
  <c r="T75" i="39"/>
  <c r="T76" i="39"/>
  <c r="T77" i="39"/>
  <c r="T78" i="39"/>
  <c r="T79" i="39"/>
  <c r="T80" i="39"/>
  <c r="T81" i="39"/>
  <c r="T82" i="39"/>
  <c r="T83" i="39"/>
  <c r="T84" i="39"/>
  <c r="T85" i="39"/>
  <c r="T86" i="39"/>
  <c r="T87" i="39"/>
  <c r="T88" i="39"/>
  <c r="T89" i="39"/>
  <c r="T90" i="39"/>
  <c r="T91" i="39"/>
  <c r="T92" i="39"/>
  <c r="T93" i="39"/>
  <c r="T94" i="39"/>
  <c r="T95" i="39"/>
  <c r="T96" i="39"/>
  <c r="T97" i="39"/>
  <c r="T98" i="39"/>
  <c r="T99" i="39"/>
  <c r="T100" i="39"/>
  <c r="T101" i="39"/>
  <c r="T102" i="39"/>
  <c r="T103" i="39"/>
  <c r="T104" i="39"/>
  <c r="T105" i="39"/>
  <c r="T106" i="39"/>
  <c r="T107" i="39"/>
  <c r="T108" i="39"/>
  <c r="T109" i="39"/>
  <c r="T110" i="39"/>
  <c r="T111" i="39"/>
  <c r="T112" i="39"/>
  <c r="T113" i="39"/>
  <c r="T114" i="39"/>
  <c r="T115" i="39"/>
  <c r="T116" i="39"/>
  <c r="T117" i="39"/>
  <c r="T118" i="39"/>
  <c r="T119" i="39"/>
  <c r="T120" i="39"/>
  <c r="T121" i="39"/>
  <c r="T122" i="39"/>
  <c r="T123" i="39"/>
  <c r="T124" i="39"/>
  <c r="T125" i="39"/>
  <c r="T126" i="39"/>
  <c r="T127" i="39"/>
  <c r="T128" i="39"/>
  <c r="T129" i="39"/>
  <c r="T130" i="39"/>
  <c r="T131" i="39"/>
  <c r="T132" i="39"/>
  <c r="T133" i="39"/>
  <c r="T134" i="39"/>
  <c r="T135" i="39"/>
  <c r="T136" i="39"/>
  <c r="T137" i="39"/>
  <c r="T138" i="39"/>
  <c r="T139" i="39"/>
  <c r="T140" i="39"/>
  <c r="T141" i="39"/>
  <c r="T142" i="39"/>
  <c r="T143" i="39"/>
  <c r="T144" i="39"/>
  <c r="T145" i="39"/>
  <c r="T146" i="39"/>
  <c r="T147" i="39"/>
  <c r="T148" i="39"/>
  <c r="T149" i="39"/>
  <c r="T150" i="39"/>
  <c r="T151" i="39"/>
  <c r="T152" i="39"/>
  <c r="T153" i="39"/>
  <c r="T154" i="39"/>
  <c r="T155" i="39"/>
  <c r="T156" i="39"/>
  <c r="T157" i="39"/>
  <c r="T158" i="39"/>
  <c r="T159" i="39"/>
  <c r="T160" i="39"/>
  <c r="T161" i="39"/>
  <c r="T162" i="39"/>
  <c r="T163" i="39"/>
  <c r="T164" i="39"/>
  <c r="T165" i="39"/>
  <c r="T166" i="39"/>
  <c r="T167" i="39"/>
  <c r="T168" i="39"/>
  <c r="T169" i="39"/>
  <c r="T170" i="39"/>
  <c r="T171" i="39"/>
  <c r="T172" i="39"/>
  <c r="T173" i="39"/>
  <c r="T174" i="39"/>
  <c r="T175" i="39"/>
  <c r="T176" i="39"/>
  <c r="T177" i="39"/>
  <c r="T178" i="39"/>
  <c r="T179" i="39"/>
  <c r="T180" i="39"/>
  <c r="T181" i="39"/>
  <c r="T182" i="39"/>
  <c r="T183" i="39"/>
  <c r="T184" i="39"/>
  <c r="T185" i="39"/>
  <c r="T186" i="39"/>
  <c r="T187" i="39"/>
  <c r="T188" i="39"/>
  <c r="T189" i="39"/>
  <c r="T190" i="39"/>
  <c r="T191" i="39"/>
  <c r="T192" i="39"/>
  <c r="T193" i="39"/>
  <c r="T194" i="39"/>
  <c r="T195" i="39"/>
  <c r="T196" i="39"/>
  <c r="T197" i="39"/>
  <c r="T198" i="39"/>
  <c r="T199" i="39"/>
  <c r="T200" i="39"/>
  <c r="T201" i="39"/>
  <c r="T202" i="39"/>
  <c r="T203" i="39"/>
  <c r="T204" i="39"/>
  <c r="T205" i="39"/>
  <c r="T206" i="39"/>
  <c r="T207" i="39"/>
  <c r="T208" i="39"/>
  <c r="T209" i="39"/>
  <c r="T210" i="39"/>
  <c r="T211" i="39"/>
  <c r="T212" i="39"/>
  <c r="T213" i="39"/>
  <c r="T214" i="39"/>
  <c r="T215" i="39"/>
  <c r="T216" i="39"/>
  <c r="T217" i="39"/>
  <c r="T218" i="39"/>
  <c r="T219" i="39"/>
  <c r="T220" i="39"/>
  <c r="T221" i="39"/>
  <c r="T222" i="39"/>
  <c r="T223" i="39"/>
  <c r="T224" i="39"/>
  <c r="T225" i="39"/>
  <c r="T226" i="39"/>
  <c r="T227" i="39"/>
  <c r="T228" i="39"/>
  <c r="U228" i="39" s="1"/>
  <c r="T7" i="39"/>
  <c r="AC8" i="39"/>
  <c r="AC9" i="39"/>
  <c r="AC10" i="39"/>
  <c r="AC11" i="39"/>
  <c r="AC12" i="39"/>
  <c r="AC13" i="39"/>
  <c r="AC14" i="39"/>
  <c r="AC15" i="39"/>
  <c r="AC16" i="39"/>
  <c r="AC17" i="39"/>
  <c r="AC18" i="39"/>
  <c r="AC19" i="39"/>
  <c r="AC20" i="39"/>
  <c r="AC21" i="39"/>
  <c r="AC22" i="39"/>
  <c r="AC23" i="39"/>
  <c r="AC24" i="39"/>
  <c r="AC25" i="39"/>
  <c r="AC26" i="39"/>
  <c r="AC27" i="39"/>
  <c r="AC28" i="39"/>
  <c r="AC29" i="39"/>
  <c r="AC30" i="39"/>
  <c r="AC31" i="39"/>
  <c r="AC32" i="39"/>
  <c r="AC33" i="39"/>
  <c r="AC34" i="39"/>
  <c r="AC35" i="39"/>
  <c r="AC36" i="39"/>
  <c r="AC37" i="39"/>
  <c r="AC38" i="39"/>
  <c r="AC39" i="39"/>
  <c r="AC40" i="39"/>
  <c r="AC41" i="39"/>
  <c r="AC42" i="39"/>
  <c r="AC43" i="39"/>
  <c r="AC44" i="39"/>
  <c r="AC45" i="39"/>
  <c r="AC46" i="39"/>
  <c r="AC47" i="39"/>
  <c r="AC48" i="39"/>
  <c r="AC49" i="39"/>
  <c r="AC50" i="39"/>
  <c r="AC51" i="39"/>
  <c r="AC52" i="39"/>
  <c r="AC53" i="39"/>
  <c r="AC54" i="39"/>
  <c r="AC55" i="39"/>
  <c r="AC56" i="39"/>
  <c r="AC57" i="39"/>
  <c r="AC58" i="39"/>
  <c r="AC59" i="39"/>
  <c r="AC60" i="39"/>
  <c r="AC61" i="39"/>
  <c r="AC62" i="39"/>
  <c r="AC63" i="39"/>
  <c r="AC64" i="39"/>
  <c r="AC65" i="39"/>
  <c r="AC66" i="39"/>
  <c r="AC67" i="39"/>
  <c r="AC68" i="39"/>
  <c r="AC69" i="39"/>
  <c r="AC70" i="39"/>
  <c r="AC71" i="39"/>
  <c r="AC72" i="39"/>
  <c r="AC73" i="39"/>
  <c r="AC74" i="39"/>
  <c r="AC75" i="39"/>
  <c r="AC76" i="39"/>
  <c r="AC77" i="39"/>
  <c r="AC78" i="39"/>
  <c r="AC79" i="39"/>
  <c r="AC80" i="39"/>
  <c r="AC81" i="39"/>
  <c r="AC82" i="39"/>
  <c r="AC83" i="39"/>
  <c r="AC84" i="39"/>
  <c r="AC85" i="39"/>
  <c r="AC86" i="39"/>
  <c r="AC87" i="39"/>
  <c r="AC88" i="39"/>
  <c r="AC89" i="39"/>
  <c r="AC90" i="39"/>
  <c r="AC91" i="39"/>
  <c r="AC92" i="39"/>
  <c r="AC93" i="39"/>
  <c r="AC94" i="39"/>
  <c r="AC95" i="39"/>
  <c r="AC96" i="39"/>
  <c r="AC97" i="39"/>
  <c r="AC98" i="39"/>
  <c r="AC99" i="39"/>
  <c r="AC100" i="39"/>
  <c r="AC101" i="39"/>
  <c r="AC102" i="39"/>
  <c r="AC103" i="39"/>
  <c r="AC104" i="39"/>
  <c r="AC105" i="39"/>
  <c r="AC106" i="39"/>
  <c r="AC107" i="39"/>
  <c r="AC108" i="39"/>
  <c r="AC109" i="39"/>
  <c r="AC110" i="39"/>
  <c r="AC111" i="39"/>
  <c r="AC112" i="39"/>
  <c r="AC113" i="39"/>
  <c r="AC114" i="39"/>
  <c r="AC115" i="39"/>
  <c r="AC116" i="39"/>
  <c r="AC117" i="39"/>
  <c r="AC118" i="39"/>
  <c r="AC119" i="39"/>
  <c r="AC120" i="39"/>
  <c r="AC121" i="39"/>
  <c r="AC122" i="39"/>
  <c r="AC123" i="39"/>
  <c r="AC124" i="39"/>
  <c r="AC125" i="39"/>
  <c r="AC126" i="39"/>
  <c r="AC127" i="39"/>
  <c r="AC128" i="39"/>
  <c r="AC129" i="39"/>
  <c r="AC130" i="39"/>
  <c r="AC131" i="39"/>
  <c r="AC132" i="39"/>
  <c r="AC133" i="39"/>
  <c r="AC134" i="39"/>
  <c r="AC135" i="39"/>
  <c r="AC136" i="39"/>
  <c r="AC137" i="39"/>
  <c r="AC138" i="39"/>
  <c r="AC139" i="39"/>
  <c r="AC140" i="39"/>
  <c r="AC141" i="39"/>
  <c r="AC142" i="39"/>
  <c r="AC143" i="39"/>
  <c r="AC144" i="39"/>
  <c r="AC145" i="39"/>
  <c r="AC146" i="39"/>
  <c r="AC147" i="39"/>
  <c r="AC148" i="39"/>
  <c r="AC149" i="39"/>
  <c r="AC150" i="39"/>
  <c r="AC151" i="39"/>
  <c r="AC152" i="39"/>
  <c r="AC153" i="39"/>
  <c r="AC154" i="39"/>
  <c r="AC155" i="39"/>
  <c r="AC156" i="39"/>
  <c r="AC157" i="39"/>
  <c r="AC158" i="39"/>
  <c r="AC159" i="39"/>
  <c r="AC160" i="39"/>
  <c r="AC161" i="39"/>
  <c r="AC162" i="39"/>
  <c r="AC163" i="39"/>
  <c r="AC164" i="39"/>
  <c r="AC165" i="39"/>
  <c r="AC166" i="39"/>
  <c r="AC167" i="39"/>
  <c r="AC168" i="39"/>
  <c r="AC169" i="39"/>
  <c r="AC170" i="39"/>
  <c r="AC171" i="39"/>
  <c r="AC172" i="39"/>
  <c r="AC173" i="39"/>
  <c r="AC174" i="39"/>
  <c r="AC175" i="39"/>
  <c r="AC176" i="39"/>
  <c r="AC177" i="39"/>
  <c r="AC178" i="39"/>
  <c r="AC179" i="39"/>
  <c r="AC180" i="39"/>
  <c r="AC181" i="39"/>
  <c r="AC182" i="39"/>
  <c r="AC183" i="39"/>
  <c r="AC184" i="39"/>
  <c r="AC185" i="39"/>
  <c r="AC186" i="39"/>
  <c r="AC187" i="39"/>
  <c r="AC188" i="39"/>
  <c r="AC189" i="39"/>
  <c r="AC190" i="39"/>
  <c r="AC191" i="39"/>
  <c r="AC192" i="39"/>
  <c r="AC193" i="39"/>
  <c r="AC194" i="39"/>
  <c r="AC195" i="39"/>
  <c r="AC196" i="39"/>
  <c r="AC197" i="39"/>
  <c r="AC198" i="39"/>
  <c r="AC199" i="39"/>
  <c r="AC200" i="39"/>
  <c r="AC201" i="39"/>
  <c r="AC202" i="39"/>
  <c r="AC203" i="39"/>
  <c r="AC204" i="39"/>
  <c r="AC205" i="39"/>
  <c r="AC206" i="39"/>
  <c r="AC207" i="39"/>
  <c r="AC208" i="39"/>
  <c r="AC209" i="39"/>
  <c r="AC210" i="39"/>
  <c r="AC211" i="39"/>
  <c r="AC212" i="39"/>
  <c r="AC213" i="39"/>
  <c r="AC214" i="39"/>
  <c r="AC215" i="39"/>
  <c r="AC216" i="39"/>
  <c r="AC217" i="39"/>
  <c r="AC218" i="39"/>
  <c r="AC219" i="39"/>
  <c r="AC220" i="39"/>
  <c r="AC221" i="39"/>
  <c r="AC222" i="39"/>
  <c r="AC223" i="39"/>
  <c r="AC224" i="39"/>
  <c r="AC225" i="39"/>
  <c r="AC226" i="39"/>
  <c r="AC227" i="39"/>
  <c r="AC228" i="39"/>
  <c r="AC7" i="39"/>
  <c r="AB8" i="39"/>
  <c r="AB9" i="39"/>
  <c r="AB10" i="39"/>
  <c r="AB11" i="39"/>
  <c r="AB12" i="39"/>
  <c r="AB13" i="39"/>
  <c r="AB14" i="39"/>
  <c r="AB15" i="39"/>
  <c r="AB16" i="39"/>
  <c r="AB17" i="39"/>
  <c r="AB18" i="39"/>
  <c r="AB19" i="39"/>
  <c r="AB20" i="39"/>
  <c r="AB21" i="39"/>
  <c r="AB22" i="39"/>
  <c r="AB23" i="39"/>
  <c r="AB24" i="39"/>
  <c r="AB25" i="39"/>
  <c r="AB26" i="39"/>
  <c r="AB27" i="39"/>
  <c r="AB28" i="39"/>
  <c r="AB29" i="39"/>
  <c r="AB30" i="39"/>
  <c r="AB31" i="39"/>
  <c r="AB32" i="39"/>
  <c r="AB33" i="39"/>
  <c r="AB34" i="39"/>
  <c r="AB35" i="39"/>
  <c r="AB36" i="39"/>
  <c r="AB37" i="39"/>
  <c r="AB38" i="39"/>
  <c r="AB39" i="39"/>
  <c r="AB40" i="39"/>
  <c r="AB41" i="39"/>
  <c r="AB42" i="39"/>
  <c r="AB43" i="39"/>
  <c r="AB44" i="39"/>
  <c r="AB45" i="39"/>
  <c r="AB46" i="39"/>
  <c r="AB47" i="39"/>
  <c r="AB48" i="39"/>
  <c r="AB49" i="39"/>
  <c r="AB50" i="39"/>
  <c r="AB51" i="39"/>
  <c r="AB52" i="39"/>
  <c r="AB53" i="39"/>
  <c r="AB54" i="39"/>
  <c r="AB55" i="39"/>
  <c r="AB56" i="39"/>
  <c r="AB57" i="39"/>
  <c r="AB58" i="39"/>
  <c r="AB59" i="39"/>
  <c r="AB60" i="39"/>
  <c r="AB61" i="39"/>
  <c r="AB62" i="39"/>
  <c r="AB63" i="39"/>
  <c r="AB64" i="39"/>
  <c r="AB65" i="39"/>
  <c r="AB66" i="39"/>
  <c r="AB67" i="39"/>
  <c r="AB68" i="39"/>
  <c r="AB69" i="39"/>
  <c r="AB70" i="39"/>
  <c r="AB71" i="39"/>
  <c r="AB72" i="39"/>
  <c r="AB73" i="39"/>
  <c r="AB74" i="39"/>
  <c r="AB75" i="39"/>
  <c r="AB76" i="39"/>
  <c r="AB77" i="39"/>
  <c r="AB78" i="39"/>
  <c r="AB79" i="39"/>
  <c r="AB80" i="39"/>
  <c r="AB81" i="39"/>
  <c r="AB82" i="39"/>
  <c r="AB83" i="39"/>
  <c r="AB84" i="39"/>
  <c r="AB85" i="39"/>
  <c r="AB86" i="39"/>
  <c r="AB87" i="39"/>
  <c r="AB88" i="39"/>
  <c r="AB89" i="39"/>
  <c r="AB90" i="39"/>
  <c r="AB91" i="39"/>
  <c r="AB92" i="39"/>
  <c r="AB93" i="39"/>
  <c r="AB94" i="39"/>
  <c r="AB95" i="39"/>
  <c r="AB96" i="39"/>
  <c r="AB97" i="39"/>
  <c r="AB98" i="39"/>
  <c r="AB99" i="39"/>
  <c r="AB100" i="39"/>
  <c r="AB101" i="39"/>
  <c r="AB102" i="39"/>
  <c r="AB103" i="39"/>
  <c r="AB104" i="39"/>
  <c r="AB105" i="39"/>
  <c r="AB106" i="39"/>
  <c r="AB107" i="39"/>
  <c r="AB108" i="39"/>
  <c r="AB109" i="39"/>
  <c r="AB110" i="39"/>
  <c r="AB111" i="39"/>
  <c r="AB112" i="39"/>
  <c r="AB113" i="39"/>
  <c r="AB114" i="39"/>
  <c r="AB115" i="39"/>
  <c r="AB116" i="39"/>
  <c r="AB117" i="39"/>
  <c r="AB118" i="39"/>
  <c r="AB119" i="39"/>
  <c r="AB120" i="39"/>
  <c r="AB121" i="39"/>
  <c r="AB122" i="39"/>
  <c r="AB123" i="39"/>
  <c r="AB124" i="39"/>
  <c r="AB125" i="39"/>
  <c r="AB126" i="39"/>
  <c r="AB127" i="39"/>
  <c r="AB128" i="39"/>
  <c r="AB129" i="39"/>
  <c r="AB130" i="39"/>
  <c r="AB131" i="39"/>
  <c r="AB132" i="39"/>
  <c r="AB133" i="39"/>
  <c r="AB134" i="39"/>
  <c r="AB135" i="39"/>
  <c r="AB136" i="39"/>
  <c r="AB137" i="39"/>
  <c r="AB138" i="39"/>
  <c r="AB139" i="39"/>
  <c r="AB140" i="39"/>
  <c r="AB141" i="39"/>
  <c r="AB142" i="39"/>
  <c r="AB143" i="39"/>
  <c r="AB144" i="39"/>
  <c r="AB145" i="39"/>
  <c r="AB146" i="39"/>
  <c r="AB147" i="39"/>
  <c r="AB148" i="39"/>
  <c r="AB149" i="39"/>
  <c r="AB150" i="39"/>
  <c r="AB151" i="39"/>
  <c r="AB152" i="39"/>
  <c r="AB153" i="39"/>
  <c r="AB154" i="39"/>
  <c r="AB155" i="39"/>
  <c r="AB156" i="39"/>
  <c r="AB157" i="39"/>
  <c r="AB158" i="39"/>
  <c r="AB159" i="39"/>
  <c r="AB160" i="39"/>
  <c r="AB161" i="39"/>
  <c r="AB162" i="39"/>
  <c r="AB163" i="39"/>
  <c r="AB164" i="39"/>
  <c r="AB165" i="39"/>
  <c r="AB166" i="39"/>
  <c r="AB167" i="39"/>
  <c r="AB168" i="39"/>
  <c r="AB169" i="39"/>
  <c r="AB170" i="39"/>
  <c r="AB171" i="39"/>
  <c r="AB172" i="39"/>
  <c r="AB173" i="39"/>
  <c r="AB174" i="39"/>
  <c r="AB175" i="39"/>
  <c r="AB176" i="39"/>
  <c r="AB177" i="39"/>
  <c r="AB178" i="39"/>
  <c r="AB179" i="39"/>
  <c r="AB180" i="39"/>
  <c r="AB181" i="39"/>
  <c r="AB182" i="39"/>
  <c r="AB183" i="39"/>
  <c r="AB184" i="39"/>
  <c r="AB185" i="39"/>
  <c r="AB186" i="39"/>
  <c r="AB187" i="39"/>
  <c r="AB188" i="39"/>
  <c r="AB189" i="39"/>
  <c r="AB190" i="39"/>
  <c r="AB191" i="39"/>
  <c r="AB192" i="39"/>
  <c r="AB193" i="39"/>
  <c r="AB194" i="39"/>
  <c r="AB195" i="39"/>
  <c r="AB196" i="39"/>
  <c r="AB197" i="39"/>
  <c r="AB198" i="39"/>
  <c r="AB199" i="39"/>
  <c r="AB200" i="39"/>
  <c r="AB201" i="39"/>
  <c r="AB202" i="39"/>
  <c r="AB203" i="39"/>
  <c r="AB204" i="39"/>
  <c r="AB205" i="39"/>
  <c r="AB206" i="39"/>
  <c r="AB207" i="39"/>
  <c r="AB208" i="39"/>
  <c r="AB209" i="39"/>
  <c r="AB210" i="39"/>
  <c r="AB211" i="39"/>
  <c r="AB212" i="39"/>
  <c r="AB213" i="39"/>
  <c r="AB214" i="39"/>
  <c r="AB215" i="39"/>
  <c r="AB216" i="39"/>
  <c r="AB217" i="39"/>
  <c r="AB218" i="39"/>
  <c r="AB219" i="39"/>
  <c r="AB220" i="39"/>
  <c r="AB221" i="39"/>
  <c r="AB222" i="39"/>
  <c r="AB223" i="39"/>
  <c r="AB224" i="39"/>
  <c r="AB225" i="39"/>
  <c r="AB226" i="39"/>
  <c r="AB227" i="39"/>
  <c r="AB228" i="39"/>
  <c r="AB7" i="39"/>
  <c r="AA8" i="39"/>
  <c r="AA9" i="39"/>
  <c r="AA10" i="39"/>
  <c r="AA11" i="39"/>
  <c r="AA12" i="39"/>
  <c r="AA13" i="39"/>
  <c r="AA14" i="39"/>
  <c r="AA15" i="39"/>
  <c r="AA16" i="39"/>
  <c r="AA17" i="39"/>
  <c r="AA18" i="39"/>
  <c r="AA19" i="39"/>
  <c r="AA20" i="39"/>
  <c r="AA21" i="39"/>
  <c r="AA22" i="39"/>
  <c r="AA23" i="39"/>
  <c r="AA24" i="39"/>
  <c r="AA25" i="39"/>
  <c r="AA26" i="39"/>
  <c r="AA27" i="39"/>
  <c r="AA28" i="39"/>
  <c r="AA29" i="39"/>
  <c r="AA30" i="39"/>
  <c r="AA31" i="39"/>
  <c r="AA32" i="39"/>
  <c r="AA33" i="39"/>
  <c r="AA34" i="39"/>
  <c r="AA35" i="39"/>
  <c r="AA36" i="39"/>
  <c r="AA37" i="39"/>
  <c r="AA38" i="39"/>
  <c r="AA39" i="39"/>
  <c r="AA40" i="39"/>
  <c r="AA41" i="39"/>
  <c r="AA42" i="39"/>
  <c r="AA43" i="39"/>
  <c r="AA44" i="39"/>
  <c r="AA45" i="39"/>
  <c r="AA46" i="39"/>
  <c r="AA47" i="39"/>
  <c r="AA48" i="39"/>
  <c r="AA49" i="39"/>
  <c r="AA50" i="39"/>
  <c r="AA51" i="39"/>
  <c r="AA52" i="39"/>
  <c r="AA53" i="39"/>
  <c r="AA54" i="39"/>
  <c r="AA55" i="39"/>
  <c r="AA56" i="39"/>
  <c r="AA57" i="39"/>
  <c r="AA58" i="39"/>
  <c r="AA59" i="39"/>
  <c r="AA60" i="39"/>
  <c r="AA61" i="39"/>
  <c r="AA62" i="39"/>
  <c r="AA63" i="39"/>
  <c r="AA64" i="39"/>
  <c r="AA65" i="39"/>
  <c r="AA66" i="39"/>
  <c r="AA67" i="39"/>
  <c r="AA68" i="39"/>
  <c r="AA69" i="39"/>
  <c r="AA70" i="39"/>
  <c r="AA71" i="39"/>
  <c r="AA72" i="39"/>
  <c r="AA73" i="39"/>
  <c r="AA74" i="39"/>
  <c r="AA75" i="39"/>
  <c r="AA76" i="39"/>
  <c r="AA77" i="39"/>
  <c r="AA78" i="39"/>
  <c r="AA79" i="39"/>
  <c r="AA80" i="39"/>
  <c r="AA81" i="39"/>
  <c r="AA82" i="39"/>
  <c r="AA83" i="39"/>
  <c r="AA84" i="39"/>
  <c r="AA85" i="39"/>
  <c r="AA86" i="39"/>
  <c r="AA87" i="39"/>
  <c r="AA88" i="39"/>
  <c r="AA89" i="39"/>
  <c r="AA90" i="39"/>
  <c r="AA91" i="39"/>
  <c r="AA92" i="39"/>
  <c r="AA93" i="39"/>
  <c r="AA94" i="39"/>
  <c r="AA95" i="39"/>
  <c r="AA96" i="39"/>
  <c r="AA97" i="39"/>
  <c r="AA98" i="39"/>
  <c r="AA99" i="39"/>
  <c r="AA100" i="39"/>
  <c r="AA101" i="39"/>
  <c r="AA102" i="39"/>
  <c r="AA103" i="39"/>
  <c r="AA104" i="39"/>
  <c r="AA105" i="39"/>
  <c r="AA106" i="39"/>
  <c r="AA107" i="39"/>
  <c r="AA108" i="39"/>
  <c r="AA109" i="39"/>
  <c r="AA110" i="39"/>
  <c r="AA111" i="39"/>
  <c r="AA112" i="39"/>
  <c r="AA113" i="39"/>
  <c r="AA114" i="39"/>
  <c r="AA115" i="39"/>
  <c r="AA116" i="39"/>
  <c r="AA117" i="39"/>
  <c r="AA118" i="39"/>
  <c r="AA119" i="39"/>
  <c r="AA120" i="39"/>
  <c r="AA121" i="39"/>
  <c r="AA122" i="39"/>
  <c r="AA123" i="39"/>
  <c r="AA124" i="39"/>
  <c r="AA125" i="39"/>
  <c r="AA126" i="39"/>
  <c r="AA127" i="39"/>
  <c r="AA128" i="39"/>
  <c r="AA129" i="39"/>
  <c r="AA130" i="39"/>
  <c r="AA131" i="39"/>
  <c r="AA132" i="39"/>
  <c r="AA133" i="39"/>
  <c r="AA134" i="39"/>
  <c r="AA135" i="39"/>
  <c r="AA136" i="39"/>
  <c r="AA137" i="39"/>
  <c r="AA138" i="39"/>
  <c r="AA139" i="39"/>
  <c r="AA140" i="39"/>
  <c r="AA141" i="39"/>
  <c r="AA142" i="39"/>
  <c r="AA143" i="39"/>
  <c r="AA144" i="39"/>
  <c r="AA145" i="39"/>
  <c r="AA146" i="39"/>
  <c r="AA147" i="39"/>
  <c r="AA148" i="39"/>
  <c r="AA149" i="39"/>
  <c r="AA150" i="39"/>
  <c r="AA151" i="39"/>
  <c r="AA152" i="39"/>
  <c r="AA153" i="39"/>
  <c r="AA154" i="39"/>
  <c r="AA155" i="39"/>
  <c r="AA156" i="39"/>
  <c r="AA157" i="39"/>
  <c r="AA158" i="39"/>
  <c r="AA159" i="39"/>
  <c r="AA160" i="39"/>
  <c r="AA161" i="39"/>
  <c r="AA162" i="39"/>
  <c r="AA163" i="39"/>
  <c r="AA164" i="39"/>
  <c r="AA165" i="39"/>
  <c r="AA166" i="39"/>
  <c r="AA167" i="39"/>
  <c r="AA168" i="39"/>
  <c r="AA169" i="39"/>
  <c r="AA170" i="39"/>
  <c r="AA171" i="39"/>
  <c r="AA172" i="39"/>
  <c r="AA173" i="39"/>
  <c r="AA174" i="39"/>
  <c r="AA175" i="39"/>
  <c r="AA176" i="39"/>
  <c r="AA177" i="39"/>
  <c r="AA178" i="39"/>
  <c r="AA179" i="39"/>
  <c r="AA180" i="39"/>
  <c r="AA181" i="39"/>
  <c r="AA182" i="39"/>
  <c r="AA183" i="39"/>
  <c r="AA184" i="39"/>
  <c r="AA185" i="39"/>
  <c r="AA186" i="39"/>
  <c r="AA187" i="39"/>
  <c r="AA188" i="39"/>
  <c r="AA189" i="39"/>
  <c r="AA190" i="39"/>
  <c r="AA191" i="39"/>
  <c r="AA192" i="39"/>
  <c r="AA193" i="39"/>
  <c r="AA194" i="39"/>
  <c r="AA195" i="39"/>
  <c r="AA196" i="39"/>
  <c r="AA197" i="39"/>
  <c r="AA198" i="39"/>
  <c r="AA199" i="39"/>
  <c r="AA200" i="39"/>
  <c r="AA201" i="39"/>
  <c r="AA202" i="39"/>
  <c r="AA203" i="39"/>
  <c r="AA204" i="39"/>
  <c r="AA205" i="39"/>
  <c r="AA206" i="39"/>
  <c r="AA207" i="39"/>
  <c r="AA208" i="39"/>
  <c r="AA209" i="39"/>
  <c r="AA210" i="39"/>
  <c r="AA211" i="39"/>
  <c r="AA212" i="39"/>
  <c r="AA213" i="39"/>
  <c r="AA214" i="39"/>
  <c r="AA215" i="39"/>
  <c r="AA216" i="39"/>
  <c r="AA217" i="39"/>
  <c r="AA218" i="39"/>
  <c r="AA219" i="39"/>
  <c r="AA220" i="39"/>
  <c r="AA221" i="39"/>
  <c r="AA222" i="39"/>
  <c r="AA223" i="39"/>
  <c r="AA224" i="39"/>
  <c r="AA225" i="39"/>
  <c r="AA226" i="39"/>
  <c r="AA227" i="39"/>
  <c r="AA228" i="39"/>
  <c r="AA7" i="39"/>
  <c r="Z8" i="39"/>
  <c r="Z9" i="39"/>
  <c r="Z10" i="39"/>
  <c r="Z11" i="39"/>
  <c r="Z12" i="39"/>
  <c r="Z13" i="39"/>
  <c r="Z14" i="39"/>
  <c r="Z15" i="39"/>
  <c r="Z16" i="39"/>
  <c r="Z17" i="39"/>
  <c r="Z18" i="39"/>
  <c r="Z19" i="39"/>
  <c r="Z20" i="39"/>
  <c r="Z21" i="39"/>
  <c r="Z22" i="39"/>
  <c r="Z23" i="39"/>
  <c r="Z24" i="39"/>
  <c r="Z25" i="39"/>
  <c r="Z26" i="39"/>
  <c r="Z27" i="39"/>
  <c r="Z28" i="39"/>
  <c r="Z29" i="39"/>
  <c r="Z30" i="39"/>
  <c r="Z31" i="39"/>
  <c r="Z32" i="39"/>
  <c r="Z33" i="39"/>
  <c r="Z34" i="39"/>
  <c r="Z35" i="39"/>
  <c r="Z36" i="39"/>
  <c r="Z37" i="39"/>
  <c r="Z38" i="39"/>
  <c r="Z39" i="39"/>
  <c r="Z40" i="39"/>
  <c r="Z41" i="39"/>
  <c r="Z42" i="39"/>
  <c r="Z43" i="39"/>
  <c r="Z44" i="39"/>
  <c r="Z45" i="39"/>
  <c r="Z46" i="39"/>
  <c r="Z47" i="39"/>
  <c r="Z48" i="39"/>
  <c r="Z49" i="39"/>
  <c r="Z50" i="39"/>
  <c r="Z51" i="39"/>
  <c r="Z52" i="39"/>
  <c r="Z53" i="39"/>
  <c r="Z54" i="39"/>
  <c r="Z55" i="39"/>
  <c r="Z56" i="39"/>
  <c r="Z57" i="39"/>
  <c r="Z58" i="39"/>
  <c r="Z59" i="39"/>
  <c r="Z60" i="39"/>
  <c r="Z61" i="39"/>
  <c r="Z62" i="39"/>
  <c r="Z63" i="39"/>
  <c r="Z64" i="39"/>
  <c r="Z65" i="39"/>
  <c r="Z66" i="39"/>
  <c r="Z67" i="39"/>
  <c r="Z68" i="39"/>
  <c r="Z69" i="39"/>
  <c r="Z70" i="39"/>
  <c r="Z71" i="39"/>
  <c r="Z72" i="39"/>
  <c r="Z73" i="39"/>
  <c r="Z74" i="39"/>
  <c r="Z75" i="39"/>
  <c r="Z76" i="39"/>
  <c r="Z77" i="39"/>
  <c r="Z78" i="39"/>
  <c r="Z79" i="39"/>
  <c r="Z80" i="39"/>
  <c r="Z81" i="39"/>
  <c r="Z82" i="39"/>
  <c r="Z83" i="39"/>
  <c r="Z84" i="39"/>
  <c r="Z85" i="39"/>
  <c r="Z86" i="39"/>
  <c r="Z87" i="39"/>
  <c r="Z88" i="39"/>
  <c r="Z89" i="39"/>
  <c r="Z90" i="39"/>
  <c r="Z91" i="39"/>
  <c r="Z92" i="39"/>
  <c r="Z93" i="39"/>
  <c r="Z94" i="39"/>
  <c r="Z95" i="39"/>
  <c r="Z96" i="39"/>
  <c r="Z97" i="39"/>
  <c r="Z98" i="39"/>
  <c r="Z99" i="39"/>
  <c r="Z100" i="39"/>
  <c r="Z101" i="39"/>
  <c r="Z102" i="39"/>
  <c r="Z103" i="39"/>
  <c r="Z104" i="39"/>
  <c r="Z105" i="39"/>
  <c r="Z106" i="39"/>
  <c r="Z107" i="39"/>
  <c r="Z108" i="39"/>
  <c r="Z109" i="39"/>
  <c r="Z110" i="39"/>
  <c r="Z111" i="39"/>
  <c r="Z112" i="39"/>
  <c r="Z113" i="39"/>
  <c r="Z114" i="39"/>
  <c r="Z115" i="39"/>
  <c r="Z116" i="39"/>
  <c r="Z117" i="39"/>
  <c r="Z118" i="39"/>
  <c r="Z119" i="39"/>
  <c r="Z120" i="39"/>
  <c r="Z121" i="39"/>
  <c r="Z122" i="39"/>
  <c r="Z123" i="39"/>
  <c r="Z124" i="39"/>
  <c r="Z125" i="39"/>
  <c r="Z126" i="39"/>
  <c r="Z127" i="39"/>
  <c r="Z128" i="39"/>
  <c r="Z129" i="39"/>
  <c r="Z130" i="39"/>
  <c r="Z131" i="39"/>
  <c r="Z132" i="39"/>
  <c r="Z133" i="39"/>
  <c r="Z134" i="39"/>
  <c r="Z135" i="39"/>
  <c r="Z136" i="39"/>
  <c r="Z137" i="39"/>
  <c r="Z138" i="39"/>
  <c r="Z139" i="39"/>
  <c r="Z140" i="39"/>
  <c r="Z141" i="39"/>
  <c r="Z142" i="39"/>
  <c r="Z143" i="39"/>
  <c r="Z144" i="39"/>
  <c r="Z145" i="39"/>
  <c r="Z146" i="39"/>
  <c r="Z147" i="39"/>
  <c r="Z148" i="39"/>
  <c r="Z149" i="39"/>
  <c r="Z150" i="39"/>
  <c r="Z151" i="39"/>
  <c r="Z152" i="39"/>
  <c r="Z153" i="39"/>
  <c r="Z154" i="39"/>
  <c r="Z155" i="39"/>
  <c r="Z156" i="39"/>
  <c r="Z157" i="39"/>
  <c r="Z158" i="39"/>
  <c r="Z159" i="39"/>
  <c r="Z160" i="39"/>
  <c r="Z161" i="39"/>
  <c r="Z162" i="39"/>
  <c r="Z163" i="39"/>
  <c r="Z164" i="39"/>
  <c r="Z165" i="39"/>
  <c r="Z166" i="39"/>
  <c r="Z167" i="39"/>
  <c r="Z168" i="39"/>
  <c r="Z169" i="39"/>
  <c r="Z170" i="39"/>
  <c r="Z171" i="39"/>
  <c r="Z172" i="39"/>
  <c r="Z173" i="39"/>
  <c r="Z174" i="39"/>
  <c r="Z175" i="39"/>
  <c r="Z176" i="39"/>
  <c r="Z177" i="39"/>
  <c r="Z178" i="39"/>
  <c r="Z179" i="39"/>
  <c r="Z180" i="39"/>
  <c r="Z181" i="39"/>
  <c r="Z182" i="39"/>
  <c r="Z183" i="39"/>
  <c r="Z184" i="39"/>
  <c r="Z185" i="39"/>
  <c r="Z186" i="39"/>
  <c r="Z187" i="39"/>
  <c r="Z188" i="39"/>
  <c r="Z189" i="39"/>
  <c r="Z190" i="39"/>
  <c r="Z191" i="39"/>
  <c r="Z192" i="39"/>
  <c r="Z193" i="39"/>
  <c r="Z194" i="39"/>
  <c r="Z195" i="39"/>
  <c r="Z196" i="39"/>
  <c r="Z197" i="39"/>
  <c r="Z198" i="39"/>
  <c r="Z199" i="39"/>
  <c r="Z200" i="39"/>
  <c r="Z201" i="39"/>
  <c r="Z202" i="39"/>
  <c r="Z203" i="39"/>
  <c r="Z204" i="39"/>
  <c r="Z205" i="39"/>
  <c r="Z206" i="39"/>
  <c r="Z207" i="39"/>
  <c r="Z208" i="39"/>
  <c r="Z209" i="39"/>
  <c r="Z210" i="39"/>
  <c r="Z211" i="39"/>
  <c r="Z212" i="39"/>
  <c r="Z213" i="39"/>
  <c r="Z214" i="39"/>
  <c r="Z215" i="39"/>
  <c r="Z216" i="39"/>
  <c r="Z217" i="39"/>
  <c r="Z218" i="39"/>
  <c r="Z219" i="39"/>
  <c r="Z220" i="39"/>
  <c r="Z221" i="39"/>
  <c r="Z222" i="39"/>
  <c r="Z223" i="39"/>
  <c r="Z224" i="39"/>
  <c r="Z225" i="39"/>
  <c r="Z226" i="39"/>
  <c r="Z227" i="39"/>
  <c r="Z228" i="39"/>
  <c r="Z7" i="39"/>
  <c r="Y8" i="39"/>
  <c r="Y9" i="39"/>
  <c r="Y10" i="39"/>
  <c r="Y11" i="39"/>
  <c r="Y12" i="39"/>
  <c r="Y13" i="39"/>
  <c r="Y14" i="39"/>
  <c r="Y15" i="39"/>
  <c r="Y16" i="39"/>
  <c r="Y17" i="39"/>
  <c r="Y18" i="39"/>
  <c r="Y19" i="39"/>
  <c r="Y20" i="39"/>
  <c r="Y21" i="39"/>
  <c r="Y22" i="39"/>
  <c r="Y23" i="39"/>
  <c r="Y24" i="39"/>
  <c r="Y25" i="39"/>
  <c r="Y26" i="39"/>
  <c r="Y27" i="39"/>
  <c r="Y28" i="39"/>
  <c r="Y29" i="39"/>
  <c r="Y30" i="39"/>
  <c r="Y31" i="39"/>
  <c r="Y32" i="39"/>
  <c r="Y33" i="39"/>
  <c r="Y34" i="39"/>
  <c r="Y35" i="39"/>
  <c r="Y36" i="39"/>
  <c r="Y37" i="39"/>
  <c r="Y38" i="39"/>
  <c r="Y39" i="39"/>
  <c r="Y40" i="39"/>
  <c r="Y41" i="39"/>
  <c r="Y42" i="39"/>
  <c r="Y43" i="39"/>
  <c r="Y44" i="39"/>
  <c r="Y45" i="39"/>
  <c r="Y46" i="39"/>
  <c r="Y47" i="39"/>
  <c r="Y48" i="39"/>
  <c r="Y49" i="39"/>
  <c r="Y50" i="39"/>
  <c r="Y51" i="39"/>
  <c r="Y52" i="39"/>
  <c r="Y53" i="39"/>
  <c r="Y54" i="39"/>
  <c r="Y55" i="39"/>
  <c r="Y56" i="39"/>
  <c r="Y57" i="39"/>
  <c r="Y58" i="39"/>
  <c r="Y59" i="39"/>
  <c r="Y60" i="39"/>
  <c r="Y61" i="39"/>
  <c r="Y62" i="39"/>
  <c r="Y63" i="39"/>
  <c r="Y64" i="39"/>
  <c r="Y65" i="39"/>
  <c r="Y66" i="39"/>
  <c r="Y67" i="39"/>
  <c r="Y68" i="39"/>
  <c r="Y69" i="39"/>
  <c r="Y70" i="39"/>
  <c r="Y71" i="39"/>
  <c r="Y72" i="39"/>
  <c r="Y73" i="39"/>
  <c r="Y74" i="39"/>
  <c r="Y75" i="39"/>
  <c r="Y76" i="39"/>
  <c r="Y77" i="39"/>
  <c r="Y78" i="39"/>
  <c r="Y79" i="39"/>
  <c r="Y80" i="39"/>
  <c r="Y81" i="39"/>
  <c r="Y82" i="39"/>
  <c r="Y83" i="39"/>
  <c r="Y84" i="39"/>
  <c r="Y85" i="39"/>
  <c r="Y86" i="39"/>
  <c r="Y87" i="39"/>
  <c r="Y88" i="39"/>
  <c r="Y89" i="39"/>
  <c r="Y90" i="39"/>
  <c r="Y91" i="39"/>
  <c r="Y92" i="39"/>
  <c r="Y93" i="39"/>
  <c r="Y94" i="39"/>
  <c r="Y95" i="39"/>
  <c r="Y96" i="39"/>
  <c r="Y97" i="39"/>
  <c r="Y98" i="39"/>
  <c r="Y99" i="39"/>
  <c r="Y100" i="39"/>
  <c r="Y101" i="39"/>
  <c r="Y102" i="39"/>
  <c r="Y103" i="39"/>
  <c r="Y104" i="39"/>
  <c r="Y105" i="39"/>
  <c r="Y106" i="39"/>
  <c r="Y107" i="39"/>
  <c r="Y108" i="39"/>
  <c r="Y109" i="39"/>
  <c r="Y110" i="39"/>
  <c r="Y111" i="39"/>
  <c r="Y112" i="39"/>
  <c r="Y113" i="39"/>
  <c r="Y114" i="39"/>
  <c r="Y115" i="39"/>
  <c r="Y116" i="39"/>
  <c r="Y117" i="39"/>
  <c r="Y118" i="39"/>
  <c r="Y119" i="39"/>
  <c r="Y120" i="39"/>
  <c r="Y121" i="39"/>
  <c r="Y122" i="39"/>
  <c r="Y123" i="39"/>
  <c r="Y124" i="39"/>
  <c r="Y125" i="39"/>
  <c r="Y126" i="39"/>
  <c r="Y127" i="39"/>
  <c r="Y128" i="39"/>
  <c r="Y129" i="39"/>
  <c r="Y130" i="39"/>
  <c r="Y131" i="39"/>
  <c r="Y132" i="39"/>
  <c r="Y133" i="39"/>
  <c r="Y134" i="39"/>
  <c r="Y135" i="39"/>
  <c r="Y136" i="39"/>
  <c r="Y137" i="39"/>
  <c r="Y138" i="39"/>
  <c r="Y139" i="39"/>
  <c r="Y140" i="39"/>
  <c r="Y141" i="39"/>
  <c r="Y142" i="39"/>
  <c r="Y143" i="39"/>
  <c r="Y144" i="39"/>
  <c r="Y145" i="39"/>
  <c r="Y146" i="39"/>
  <c r="Y147" i="39"/>
  <c r="Y148" i="39"/>
  <c r="Y149" i="39"/>
  <c r="Y150" i="39"/>
  <c r="Y151" i="39"/>
  <c r="Y152" i="39"/>
  <c r="Y153" i="39"/>
  <c r="Y154" i="39"/>
  <c r="Y155" i="39"/>
  <c r="Y156" i="39"/>
  <c r="Y157" i="39"/>
  <c r="Y158" i="39"/>
  <c r="Y159" i="39"/>
  <c r="Y160" i="39"/>
  <c r="Y161" i="39"/>
  <c r="Y162" i="39"/>
  <c r="Y163" i="39"/>
  <c r="Y164" i="39"/>
  <c r="Y165" i="39"/>
  <c r="Y166" i="39"/>
  <c r="Y167" i="39"/>
  <c r="Y168" i="39"/>
  <c r="Y169" i="39"/>
  <c r="Y170" i="39"/>
  <c r="Y171" i="39"/>
  <c r="Y172" i="39"/>
  <c r="Y173" i="39"/>
  <c r="Y174" i="39"/>
  <c r="Y175" i="39"/>
  <c r="Y176" i="39"/>
  <c r="Y177" i="39"/>
  <c r="Y178" i="39"/>
  <c r="Y179" i="39"/>
  <c r="Y180" i="39"/>
  <c r="Y181" i="39"/>
  <c r="Y182" i="39"/>
  <c r="Y183" i="39"/>
  <c r="Y184" i="39"/>
  <c r="Y185" i="39"/>
  <c r="Y186" i="39"/>
  <c r="Y187" i="39"/>
  <c r="Y188" i="39"/>
  <c r="Y189" i="39"/>
  <c r="Y190" i="39"/>
  <c r="Y191" i="39"/>
  <c r="Y192" i="39"/>
  <c r="Y193" i="39"/>
  <c r="Y194" i="39"/>
  <c r="Y195" i="39"/>
  <c r="Y196" i="39"/>
  <c r="Y197" i="39"/>
  <c r="Y198" i="39"/>
  <c r="Y199" i="39"/>
  <c r="Y200" i="39"/>
  <c r="Y201" i="39"/>
  <c r="Y202" i="39"/>
  <c r="Y203" i="39"/>
  <c r="Y204" i="39"/>
  <c r="Y205" i="39"/>
  <c r="Y206" i="39"/>
  <c r="Y207" i="39"/>
  <c r="Y208" i="39"/>
  <c r="Y209" i="39"/>
  <c r="Y210" i="39"/>
  <c r="Y211" i="39"/>
  <c r="Y212" i="39"/>
  <c r="Y213" i="39"/>
  <c r="Y214" i="39"/>
  <c r="Y215" i="39"/>
  <c r="Y216" i="39"/>
  <c r="Y217" i="39"/>
  <c r="Y218" i="39"/>
  <c r="Y219" i="39"/>
  <c r="Y220" i="39"/>
  <c r="Y221" i="39"/>
  <c r="Y222" i="39"/>
  <c r="Y223" i="39"/>
  <c r="Y224" i="39"/>
  <c r="Y225" i="39"/>
  <c r="Y226" i="39"/>
  <c r="Y227" i="39"/>
  <c r="Y228" i="39"/>
  <c r="Y7" i="39"/>
  <c r="X8" i="39"/>
  <c r="X9" i="39"/>
  <c r="X10" i="39"/>
  <c r="X11" i="39"/>
  <c r="X12" i="39"/>
  <c r="X13" i="39"/>
  <c r="X14" i="39"/>
  <c r="X15" i="39"/>
  <c r="X16" i="39"/>
  <c r="X17" i="39"/>
  <c r="X18" i="39"/>
  <c r="X19" i="39"/>
  <c r="X20" i="39"/>
  <c r="X21" i="39"/>
  <c r="X22" i="39"/>
  <c r="X23" i="39"/>
  <c r="X24" i="39"/>
  <c r="X25" i="39"/>
  <c r="X26" i="39"/>
  <c r="X27" i="39"/>
  <c r="X28" i="39"/>
  <c r="X29" i="39"/>
  <c r="X30" i="39"/>
  <c r="X31" i="39"/>
  <c r="X32" i="39"/>
  <c r="X33" i="39"/>
  <c r="X34" i="39"/>
  <c r="X35" i="39"/>
  <c r="X36" i="39"/>
  <c r="X37" i="39"/>
  <c r="X38" i="39"/>
  <c r="X39" i="39"/>
  <c r="X40" i="39"/>
  <c r="X41" i="39"/>
  <c r="X42" i="39"/>
  <c r="X43" i="39"/>
  <c r="X44" i="39"/>
  <c r="X45" i="39"/>
  <c r="X46" i="39"/>
  <c r="X47" i="39"/>
  <c r="X48" i="39"/>
  <c r="X49" i="39"/>
  <c r="X50" i="39"/>
  <c r="X51" i="39"/>
  <c r="X52" i="39"/>
  <c r="X53" i="39"/>
  <c r="X54" i="39"/>
  <c r="X55" i="39"/>
  <c r="X56" i="39"/>
  <c r="X57" i="39"/>
  <c r="X58" i="39"/>
  <c r="X59" i="39"/>
  <c r="X60" i="39"/>
  <c r="X61" i="39"/>
  <c r="X62" i="39"/>
  <c r="X63" i="39"/>
  <c r="X64" i="39"/>
  <c r="X65" i="39"/>
  <c r="X66" i="39"/>
  <c r="X67" i="39"/>
  <c r="X68" i="39"/>
  <c r="X69" i="39"/>
  <c r="X70" i="39"/>
  <c r="X71" i="39"/>
  <c r="X72" i="39"/>
  <c r="X73" i="39"/>
  <c r="X74" i="39"/>
  <c r="X75" i="39"/>
  <c r="X76" i="39"/>
  <c r="X77" i="39"/>
  <c r="X78" i="39"/>
  <c r="X79" i="39"/>
  <c r="X80" i="39"/>
  <c r="X81" i="39"/>
  <c r="X82" i="39"/>
  <c r="X83" i="39"/>
  <c r="X84" i="39"/>
  <c r="X85" i="39"/>
  <c r="X86" i="39"/>
  <c r="X87" i="39"/>
  <c r="X88" i="39"/>
  <c r="X89" i="39"/>
  <c r="X90" i="39"/>
  <c r="X91" i="39"/>
  <c r="X92" i="39"/>
  <c r="X93" i="39"/>
  <c r="X94" i="39"/>
  <c r="X95" i="39"/>
  <c r="X96" i="39"/>
  <c r="X97" i="39"/>
  <c r="X98" i="39"/>
  <c r="X99" i="39"/>
  <c r="X100" i="39"/>
  <c r="X101" i="39"/>
  <c r="X102" i="39"/>
  <c r="X103" i="39"/>
  <c r="X104" i="39"/>
  <c r="X105" i="39"/>
  <c r="X106" i="39"/>
  <c r="X107" i="39"/>
  <c r="X108" i="39"/>
  <c r="X109" i="39"/>
  <c r="X110" i="39"/>
  <c r="X111" i="39"/>
  <c r="X112" i="39"/>
  <c r="X113" i="39"/>
  <c r="X114" i="39"/>
  <c r="X115" i="39"/>
  <c r="X116" i="39"/>
  <c r="X117" i="39"/>
  <c r="X118" i="39"/>
  <c r="X119" i="39"/>
  <c r="X120" i="39"/>
  <c r="X121" i="39"/>
  <c r="X122" i="39"/>
  <c r="X123" i="39"/>
  <c r="X124" i="39"/>
  <c r="X125" i="39"/>
  <c r="X126" i="39"/>
  <c r="X127" i="39"/>
  <c r="X128" i="39"/>
  <c r="X129" i="39"/>
  <c r="X130" i="39"/>
  <c r="X131" i="39"/>
  <c r="X132" i="39"/>
  <c r="X133" i="39"/>
  <c r="X134" i="39"/>
  <c r="X135" i="39"/>
  <c r="X136" i="39"/>
  <c r="X137" i="39"/>
  <c r="X138" i="39"/>
  <c r="X139" i="39"/>
  <c r="X140" i="39"/>
  <c r="X141" i="39"/>
  <c r="X142" i="39"/>
  <c r="X143" i="39"/>
  <c r="X144" i="39"/>
  <c r="X145" i="39"/>
  <c r="X146" i="39"/>
  <c r="X147" i="39"/>
  <c r="X148" i="39"/>
  <c r="X149" i="39"/>
  <c r="X150" i="39"/>
  <c r="X151" i="39"/>
  <c r="X152" i="39"/>
  <c r="X153" i="39"/>
  <c r="X154" i="39"/>
  <c r="X155" i="39"/>
  <c r="X156" i="39"/>
  <c r="X157" i="39"/>
  <c r="X158" i="39"/>
  <c r="X159" i="39"/>
  <c r="X160" i="39"/>
  <c r="X161" i="39"/>
  <c r="X162" i="39"/>
  <c r="X163" i="39"/>
  <c r="X164" i="39"/>
  <c r="X165" i="39"/>
  <c r="X166" i="39"/>
  <c r="X167" i="39"/>
  <c r="X168" i="39"/>
  <c r="X169" i="39"/>
  <c r="X170" i="39"/>
  <c r="X171" i="39"/>
  <c r="X172" i="39"/>
  <c r="X173" i="39"/>
  <c r="X174" i="39"/>
  <c r="X175" i="39"/>
  <c r="X176" i="39"/>
  <c r="X177" i="39"/>
  <c r="X178" i="39"/>
  <c r="X179" i="39"/>
  <c r="X180" i="39"/>
  <c r="X181" i="39"/>
  <c r="X182" i="39"/>
  <c r="X183" i="39"/>
  <c r="X184" i="39"/>
  <c r="X185" i="39"/>
  <c r="X186" i="39"/>
  <c r="X187" i="39"/>
  <c r="X188" i="39"/>
  <c r="X189" i="39"/>
  <c r="X190" i="39"/>
  <c r="X191" i="39"/>
  <c r="X192" i="39"/>
  <c r="X193" i="39"/>
  <c r="X194" i="39"/>
  <c r="X195" i="39"/>
  <c r="X196" i="39"/>
  <c r="X197" i="39"/>
  <c r="X198" i="39"/>
  <c r="X199" i="39"/>
  <c r="X200" i="39"/>
  <c r="X201" i="39"/>
  <c r="X202" i="39"/>
  <c r="X203" i="39"/>
  <c r="X204" i="39"/>
  <c r="X205" i="39"/>
  <c r="X206" i="39"/>
  <c r="X207" i="39"/>
  <c r="X208" i="39"/>
  <c r="X209" i="39"/>
  <c r="X210" i="39"/>
  <c r="X211" i="39"/>
  <c r="X212" i="39"/>
  <c r="X213" i="39"/>
  <c r="X214" i="39"/>
  <c r="X215" i="39"/>
  <c r="X216" i="39"/>
  <c r="X217" i="39"/>
  <c r="X218" i="39"/>
  <c r="X219" i="39"/>
  <c r="X220" i="39"/>
  <c r="X221" i="39"/>
  <c r="X222" i="39"/>
  <c r="X223" i="39"/>
  <c r="X224" i="39"/>
  <c r="X225" i="39"/>
  <c r="X226" i="39"/>
  <c r="X227" i="39"/>
  <c r="X228" i="39"/>
  <c r="X7" i="39"/>
  <c r="W7" i="39"/>
  <c r="W8" i="39"/>
  <c r="W9" i="39"/>
  <c r="W10" i="39"/>
  <c r="W11" i="39"/>
  <c r="W12" i="39"/>
  <c r="W13" i="39"/>
  <c r="W14" i="39"/>
  <c r="W15" i="39"/>
  <c r="W16" i="39"/>
  <c r="W17" i="39"/>
  <c r="W18" i="39"/>
  <c r="W19" i="39"/>
  <c r="W20" i="39"/>
  <c r="W21" i="39"/>
  <c r="W22" i="39"/>
  <c r="W23" i="39"/>
  <c r="W24" i="39"/>
  <c r="W25" i="39"/>
  <c r="W26" i="39"/>
  <c r="W27" i="39"/>
  <c r="W28" i="39"/>
  <c r="W29" i="39"/>
  <c r="W30" i="39"/>
  <c r="W31" i="39"/>
  <c r="W32" i="39"/>
  <c r="W33" i="39"/>
  <c r="W34" i="39"/>
  <c r="W35" i="39"/>
  <c r="W36" i="39"/>
  <c r="W37" i="39"/>
  <c r="W38" i="39"/>
  <c r="W39" i="39"/>
  <c r="W40" i="39"/>
  <c r="W41" i="39"/>
  <c r="W42" i="39"/>
  <c r="W43" i="39"/>
  <c r="W44" i="39"/>
  <c r="W45" i="39"/>
  <c r="W46" i="39"/>
  <c r="W47" i="39"/>
  <c r="W48" i="39"/>
  <c r="W49" i="39"/>
  <c r="W50" i="39"/>
  <c r="W51" i="39"/>
  <c r="W52" i="39"/>
  <c r="W53" i="39"/>
  <c r="W54" i="39"/>
  <c r="W55" i="39"/>
  <c r="W56" i="39"/>
  <c r="W57" i="39"/>
  <c r="W58" i="39"/>
  <c r="W59" i="39"/>
  <c r="W60" i="39"/>
  <c r="W61" i="39"/>
  <c r="W62" i="39"/>
  <c r="W63" i="39"/>
  <c r="W64" i="39"/>
  <c r="W65" i="39"/>
  <c r="W66" i="39"/>
  <c r="W67" i="39"/>
  <c r="W68" i="39"/>
  <c r="W69" i="39"/>
  <c r="W70" i="39"/>
  <c r="W71" i="39"/>
  <c r="W72" i="39"/>
  <c r="W73" i="39"/>
  <c r="W74" i="39"/>
  <c r="W75" i="39"/>
  <c r="W76" i="39"/>
  <c r="W77" i="39"/>
  <c r="W78" i="39"/>
  <c r="W79" i="39"/>
  <c r="W80" i="39"/>
  <c r="W81" i="39"/>
  <c r="W82" i="39"/>
  <c r="W83" i="39"/>
  <c r="W84" i="39"/>
  <c r="W85" i="39"/>
  <c r="W86" i="39"/>
  <c r="W87" i="39"/>
  <c r="W88" i="39"/>
  <c r="W89" i="39"/>
  <c r="W90" i="39"/>
  <c r="W91" i="39"/>
  <c r="W92" i="39"/>
  <c r="W93" i="39"/>
  <c r="W94" i="39"/>
  <c r="W95" i="39"/>
  <c r="W96" i="39"/>
  <c r="W97" i="39"/>
  <c r="W98" i="39"/>
  <c r="W99" i="39"/>
  <c r="W100" i="39"/>
  <c r="W101" i="39"/>
  <c r="W102" i="39"/>
  <c r="W103" i="39"/>
  <c r="W104" i="39"/>
  <c r="W105" i="39"/>
  <c r="W106" i="39"/>
  <c r="W107" i="39"/>
  <c r="W108" i="39"/>
  <c r="W109" i="39"/>
  <c r="W110" i="39"/>
  <c r="W111" i="39"/>
  <c r="W112" i="39"/>
  <c r="W113" i="39"/>
  <c r="W114" i="39"/>
  <c r="W115" i="39"/>
  <c r="W116" i="39"/>
  <c r="W117" i="39"/>
  <c r="W118" i="39"/>
  <c r="W119" i="39"/>
  <c r="W120" i="39"/>
  <c r="W121" i="39"/>
  <c r="W122" i="39"/>
  <c r="W123" i="39"/>
  <c r="W124" i="39"/>
  <c r="W125" i="39"/>
  <c r="W126" i="39"/>
  <c r="W127" i="39"/>
  <c r="W128" i="39"/>
  <c r="W129" i="39"/>
  <c r="W130" i="39"/>
  <c r="W131" i="39"/>
  <c r="W132" i="39"/>
  <c r="W133" i="39"/>
  <c r="W134" i="39"/>
  <c r="W135" i="39"/>
  <c r="W136" i="39"/>
  <c r="W137" i="39"/>
  <c r="W138" i="39"/>
  <c r="W139" i="39"/>
  <c r="W140" i="39"/>
  <c r="W141" i="39"/>
  <c r="W142" i="39"/>
  <c r="W143" i="39"/>
  <c r="W144" i="39"/>
  <c r="W145" i="39"/>
  <c r="W146" i="39"/>
  <c r="W147" i="39"/>
  <c r="W148" i="39"/>
  <c r="W149" i="39"/>
  <c r="W150" i="39"/>
  <c r="W151" i="39"/>
  <c r="W152" i="39"/>
  <c r="W153" i="39"/>
  <c r="W154" i="39"/>
  <c r="W155" i="39"/>
  <c r="W156" i="39"/>
  <c r="W157" i="39"/>
  <c r="W158" i="39"/>
  <c r="W159" i="39"/>
  <c r="W160" i="39"/>
  <c r="W161" i="39"/>
  <c r="W162" i="39"/>
  <c r="W163" i="39"/>
  <c r="W164" i="39"/>
  <c r="W165" i="39"/>
  <c r="W166" i="39"/>
  <c r="W167" i="39"/>
  <c r="W168" i="39"/>
  <c r="W169" i="39"/>
  <c r="W170" i="39"/>
  <c r="W171" i="39"/>
  <c r="W172" i="39"/>
  <c r="W173" i="39"/>
  <c r="W174" i="39"/>
  <c r="W175" i="39"/>
  <c r="W176" i="39"/>
  <c r="W177" i="39"/>
  <c r="W178" i="39"/>
  <c r="W179" i="39"/>
  <c r="W180" i="39"/>
  <c r="W181" i="39"/>
  <c r="W182" i="39"/>
  <c r="W183" i="39"/>
  <c r="W184" i="39"/>
  <c r="W185" i="39"/>
  <c r="W186" i="39"/>
  <c r="W187" i="39"/>
  <c r="W188" i="39"/>
  <c r="W189" i="39"/>
  <c r="W190" i="39"/>
  <c r="W191" i="39"/>
  <c r="W192" i="39"/>
  <c r="W193" i="39"/>
  <c r="W194" i="39"/>
  <c r="W195" i="39"/>
  <c r="W196" i="39"/>
  <c r="W197" i="39"/>
  <c r="W198" i="39"/>
  <c r="W199" i="39"/>
  <c r="W200" i="39"/>
  <c r="W201" i="39"/>
  <c r="W202" i="39"/>
  <c r="W203" i="39"/>
  <c r="W204" i="39"/>
  <c r="W205" i="39"/>
  <c r="W206" i="39"/>
  <c r="W207" i="39"/>
  <c r="W208" i="39"/>
  <c r="W209" i="39"/>
  <c r="W210" i="39"/>
  <c r="W211" i="39"/>
  <c r="W212" i="39"/>
  <c r="W213" i="39"/>
  <c r="W214" i="39"/>
  <c r="W215" i="39"/>
  <c r="W216" i="39"/>
  <c r="W217" i="39"/>
  <c r="W218" i="39"/>
  <c r="W219" i="39"/>
  <c r="W220" i="39"/>
  <c r="W221" i="39"/>
  <c r="W222" i="39"/>
  <c r="W223" i="39"/>
  <c r="W224" i="39"/>
  <c r="W225" i="39"/>
  <c r="W226" i="39"/>
  <c r="W227" i="39"/>
  <c r="W228" i="39"/>
  <c r="V8" i="39"/>
  <c r="V9" i="39"/>
  <c r="V10" i="39"/>
  <c r="V11" i="39"/>
  <c r="V12" i="39"/>
  <c r="V13" i="39"/>
  <c r="V14" i="39"/>
  <c r="V15" i="39"/>
  <c r="V16" i="39"/>
  <c r="V17" i="39"/>
  <c r="V18" i="39"/>
  <c r="V19" i="39"/>
  <c r="V20" i="39"/>
  <c r="V21" i="39"/>
  <c r="V22" i="39"/>
  <c r="V23" i="39"/>
  <c r="V24" i="39"/>
  <c r="V25" i="39"/>
  <c r="V26" i="39"/>
  <c r="V27" i="39"/>
  <c r="V28" i="39"/>
  <c r="V29" i="39"/>
  <c r="V30" i="39"/>
  <c r="V31" i="39"/>
  <c r="V32" i="39"/>
  <c r="V33" i="39"/>
  <c r="V34" i="39"/>
  <c r="V35" i="39"/>
  <c r="V36" i="39"/>
  <c r="V37" i="39"/>
  <c r="V38" i="39"/>
  <c r="V39" i="39"/>
  <c r="V40" i="39"/>
  <c r="V41" i="39"/>
  <c r="V42" i="39"/>
  <c r="V43" i="39"/>
  <c r="V44" i="39"/>
  <c r="V45" i="39"/>
  <c r="V46" i="39"/>
  <c r="V47" i="39"/>
  <c r="V48" i="39"/>
  <c r="V49" i="39"/>
  <c r="V50" i="39"/>
  <c r="V51" i="39"/>
  <c r="V52" i="39"/>
  <c r="V53" i="39"/>
  <c r="V54" i="39"/>
  <c r="V55" i="39"/>
  <c r="V56" i="39"/>
  <c r="V57" i="39"/>
  <c r="V58" i="39"/>
  <c r="V59" i="39"/>
  <c r="V60" i="39"/>
  <c r="V61" i="39"/>
  <c r="V62" i="39"/>
  <c r="V63" i="39"/>
  <c r="V64" i="39"/>
  <c r="V65" i="39"/>
  <c r="V66" i="39"/>
  <c r="V67" i="39"/>
  <c r="V68" i="39"/>
  <c r="V69" i="39"/>
  <c r="V70" i="39"/>
  <c r="V71" i="39"/>
  <c r="V72" i="39"/>
  <c r="V73" i="39"/>
  <c r="V74" i="39"/>
  <c r="V75" i="39"/>
  <c r="V76" i="39"/>
  <c r="V77" i="39"/>
  <c r="V78" i="39"/>
  <c r="V79" i="39"/>
  <c r="V80" i="39"/>
  <c r="V81" i="39"/>
  <c r="V82" i="39"/>
  <c r="V83" i="39"/>
  <c r="V84" i="39"/>
  <c r="V85" i="39"/>
  <c r="V86" i="39"/>
  <c r="V87" i="39"/>
  <c r="V88" i="39"/>
  <c r="V89" i="39"/>
  <c r="V90" i="39"/>
  <c r="V91" i="39"/>
  <c r="V92" i="39"/>
  <c r="V93" i="39"/>
  <c r="V94" i="39"/>
  <c r="V95" i="39"/>
  <c r="V96" i="39"/>
  <c r="V97" i="39"/>
  <c r="V98" i="39"/>
  <c r="V99" i="39"/>
  <c r="V100" i="39"/>
  <c r="V101" i="39"/>
  <c r="V102" i="39"/>
  <c r="V103" i="39"/>
  <c r="V104" i="39"/>
  <c r="V105" i="39"/>
  <c r="V106" i="39"/>
  <c r="V107" i="39"/>
  <c r="V108" i="39"/>
  <c r="V109" i="39"/>
  <c r="V110" i="39"/>
  <c r="V111" i="39"/>
  <c r="V112" i="39"/>
  <c r="V113" i="39"/>
  <c r="V114" i="39"/>
  <c r="V115" i="39"/>
  <c r="V116" i="39"/>
  <c r="V117" i="39"/>
  <c r="V118" i="39"/>
  <c r="V119" i="39"/>
  <c r="V120" i="39"/>
  <c r="V121" i="39"/>
  <c r="V122" i="39"/>
  <c r="V123" i="39"/>
  <c r="V124" i="39"/>
  <c r="V125" i="39"/>
  <c r="V126" i="39"/>
  <c r="V127" i="39"/>
  <c r="V128" i="39"/>
  <c r="V129" i="39"/>
  <c r="V130" i="39"/>
  <c r="V131" i="39"/>
  <c r="V132" i="39"/>
  <c r="V133" i="39"/>
  <c r="V134" i="39"/>
  <c r="V135" i="39"/>
  <c r="V136" i="39"/>
  <c r="V137" i="39"/>
  <c r="V138" i="39"/>
  <c r="V139" i="39"/>
  <c r="V140" i="39"/>
  <c r="V141" i="39"/>
  <c r="V142" i="39"/>
  <c r="V143" i="39"/>
  <c r="V144" i="39"/>
  <c r="V145" i="39"/>
  <c r="V146" i="39"/>
  <c r="V147" i="39"/>
  <c r="V148" i="39"/>
  <c r="V149" i="39"/>
  <c r="V150" i="39"/>
  <c r="V151" i="39"/>
  <c r="V152" i="39"/>
  <c r="V153" i="39"/>
  <c r="V154" i="39"/>
  <c r="V155" i="39"/>
  <c r="V156" i="39"/>
  <c r="V157" i="39"/>
  <c r="V158" i="39"/>
  <c r="V159" i="39"/>
  <c r="V160" i="39"/>
  <c r="V161" i="39"/>
  <c r="V162" i="39"/>
  <c r="V163" i="39"/>
  <c r="V164" i="39"/>
  <c r="V165" i="39"/>
  <c r="V166" i="39"/>
  <c r="V167" i="39"/>
  <c r="V168" i="39"/>
  <c r="V169" i="39"/>
  <c r="V170" i="39"/>
  <c r="V171" i="39"/>
  <c r="V172" i="39"/>
  <c r="V173" i="39"/>
  <c r="V174" i="39"/>
  <c r="V175" i="39"/>
  <c r="V176" i="39"/>
  <c r="V177" i="39"/>
  <c r="V178" i="39"/>
  <c r="V179" i="39"/>
  <c r="V180" i="39"/>
  <c r="V181" i="39"/>
  <c r="V182" i="39"/>
  <c r="V183" i="39"/>
  <c r="V184" i="39"/>
  <c r="V185" i="39"/>
  <c r="V186" i="39"/>
  <c r="V187" i="39"/>
  <c r="V188" i="39"/>
  <c r="V189" i="39"/>
  <c r="V190" i="39"/>
  <c r="V191" i="39"/>
  <c r="V192" i="39"/>
  <c r="V193" i="39"/>
  <c r="V194" i="39"/>
  <c r="V195" i="39"/>
  <c r="V196" i="39"/>
  <c r="V197" i="39"/>
  <c r="V198" i="39"/>
  <c r="V199" i="39"/>
  <c r="V200" i="39"/>
  <c r="V201" i="39"/>
  <c r="V202" i="39"/>
  <c r="V203" i="39"/>
  <c r="V204" i="39"/>
  <c r="V205" i="39"/>
  <c r="V206" i="39"/>
  <c r="V207" i="39"/>
  <c r="V208" i="39"/>
  <c r="V209" i="39"/>
  <c r="V210" i="39"/>
  <c r="V211" i="39"/>
  <c r="V212" i="39"/>
  <c r="V213" i="39"/>
  <c r="V214" i="39"/>
  <c r="V215" i="39"/>
  <c r="V216" i="39"/>
  <c r="V217" i="39"/>
  <c r="V218" i="39"/>
  <c r="V219" i="39"/>
  <c r="V220" i="39"/>
  <c r="V221" i="39"/>
  <c r="V222" i="39"/>
  <c r="V223" i="39"/>
  <c r="V224" i="39"/>
  <c r="V225" i="39"/>
  <c r="V226" i="39"/>
  <c r="V227" i="39"/>
  <c r="V228" i="39"/>
  <c r="V7" i="39"/>
  <c r="S228" i="39"/>
  <c r="E3" i="62"/>
  <c r="E2" i="62"/>
  <c r="F228" i="39"/>
  <c r="G228" i="39"/>
  <c r="H228" i="39"/>
  <c r="I228" i="39"/>
  <c r="J228" i="39"/>
  <c r="K228" i="39"/>
  <c r="L228" i="39"/>
  <c r="M228" i="39"/>
  <c r="N228" i="39"/>
  <c r="O228" i="39"/>
  <c r="P228" i="39"/>
  <c r="Q228" i="39"/>
  <c r="R228" i="39"/>
  <c r="C6" i="63" l="1"/>
  <c r="C8" i="60"/>
  <c r="R32" i="67" l="1"/>
  <c r="S32" i="67"/>
  <c r="Q32" i="68"/>
  <c r="R32" i="68"/>
  <c r="C32" i="65" l="1"/>
  <c r="D32" i="65"/>
  <c r="B6" i="64" l="1"/>
  <c r="E32" i="65"/>
  <c r="R227" i="39" l="1"/>
  <c r="S227" i="39"/>
  <c r="F227" i="39"/>
  <c r="G227" i="39"/>
  <c r="H227" i="39"/>
  <c r="I227" i="39"/>
  <c r="J227" i="39"/>
  <c r="K227" i="39"/>
  <c r="L227" i="39"/>
  <c r="M227" i="39"/>
  <c r="N227" i="39"/>
  <c r="O227" i="39"/>
  <c r="P227" i="39"/>
  <c r="Q227" i="39"/>
  <c r="A53" i="65"/>
  <c r="D53" i="65"/>
  <c r="A32" i="65"/>
  <c r="S8" i="39"/>
  <c r="S9" i="39"/>
  <c r="S10" i="39"/>
  <c r="S11" i="39"/>
  <c r="S12" i="39"/>
  <c r="S13" i="39"/>
  <c r="S14" i="39"/>
  <c r="S15" i="39"/>
  <c r="S16" i="39"/>
  <c r="S17" i="39"/>
  <c r="S18" i="39"/>
  <c r="S19" i="39"/>
  <c r="S20" i="39"/>
  <c r="S21" i="39"/>
  <c r="S22" i="39"/>
  <c r="S23" i="39"/>
  <c r="S24" i="39"/>
  <c r="S25" i="39"/>
  <c r="S26" i="39"/>
  <c r="S27" i="39"/>
  <c r="S28" i="39"/>
  <c r="S29" i="39"/>
  <c r="S30" i="39"/>
  <c r="S31" i="39"/>
  <c r="S32" i="39"/>
  <c r="S33" i="39"/>
  <c r="S34" i="39"/>
  <c r="S35" i="39"/>
  <c r="S36" i="39"/>
  <c r="S37" i="39"/>
  <c r="S38" i="39"/>
  <c r="S39" i="39"/>
  <c r="S40" i="39"/>
  <c r="S41" i="39"/>
  <c r="S42" i="39"/>
  <c r="S43" i="39"/>
  <c r="S44" i="39"/>
  <c r="S45" i="39"/>
  <c r="S46" i="39"/>
  <c r="S47" i="39"/>
  <c r="S48" i="39"/>
  <c r="S49" i="39"/>
  <c r="S50" i="39"/>
  <c r="S51" i="39"/>
  <c r="S52" i="39"/>
  <c r="S53" i="39"/>
  <c r="S54" i="39"/>
  <c r="S55" i="39"/>
  <c r="S56" i="39"/>
  <c r="S57" i="39"/>
  <c r="S58" i="39"/>
  <c r="S59" i="39"/>
  <c r="S60" i="39"/>
  <c r="S61" i="39"/>
  <c r="S62" i="39"/>
  <c r="S63" i="39"/>
  <c r="S64" i="39"/>
  <c r="S65" i="39"/>
  <c r="S66" i="39"/>
  <c r="S67" i="39"/>
  <c r="S68" i="39"/>
  <c r="S69" i="39"/>
  <c r="S70" i="39"/>
  <c r="S71" i="39"/>
  <c r="S72" i="39"/>
  <c r="S73" i="39"/>
  <c r="S74" i="39"/>
  <c r="S75" i="39"/>
  <c r="S76" i="39"/>
  <c r="S77" i="39"/>
  <c r="S78" i="39"/>
  <c r="S79" i="39"/>
  <c r="S80" i="39"/>
  <c r="S81" i="39"/>
  <c r="S82" i="39"/>
  <c r="S83" i="39"/>
  <c r="S84" i="39"/>
  <c r="S85" i="39"/>
  <c r="S86" i="39"/>
  <c r="S87" i="39"/>
  <c r="S88" i="39"/>
  <c r="S89" i="39"/>
  <c r="S90" i="39"/>
  <c r="S91" i="39"/>
  <c r="S92" i="39"/>
  <c r="S93" i="39"/>
  <c r="S94" i="39"/>
  <c r="S95" i="39"/>
  <c r="S96" i="39"/>
  <c r="S97" i="39"/>
  <c r="S98" i="39"/>
  <c r="S99" i="39"/>
  <c r="S100" i="39"/>
  <c r="S101" i="39"/>
  <c r="S102" i="39"/>
  <c r="S103" i="39"/>
  <c r="S104" i="39"/>
  <c r="S105" i="39"/>
  <c r="S106" i="39"/>
  <c r="S107" i="39"/>
  <c r="S108" i="39"/>
  <c r="S109" i="39"/>
  <c r="S110" i="39"/>
  <c r="S111" i="39"/>
  <c r="S112" i="39"/>
  <c r="S113" i="39"/>
  <c r="S114" i="39"/>
  <c r="S115" i="39"/>
  <c r="S116" i="39"/>
  <c r="S117" i="39"/>
  <c r="S118" i="39"/>
  <c r="S119" i="39"/>
  <c r="S120" i="39"/>
  <c r="S121" i="39"/>
  <c r="S122" i="39"/>
  <c r="S123" i="39"/>
  <c r="S124" i="39"/>
  <c r="S125" i="39"/>
  <c r="S126" i="39"/>
  <c r="S127" i="39"/>
  <c r="S128" i="39"/>
  <c r="S129" i="39"/>
  <c r="S130" i="39"/>
  <c r="S131" i="39"/>
  <c r="S132" i="39"/>
  <c r="S133" i="39"/>
  <c r="S134" i="39"/>
  <c r="S135" i="39"/>
  <c r="S136" i="39"/>
  <c r="S137" i="39"/>
  <c r="S138" i="39"/>
  <c r="S139" i="39"/>
  <c r="S140" i="39"/>
  <c r="S141" i="39"/>
  <c r="S142" i="39"/>
  <c r="S143" i="39"/>
  <c r="S144" i="39"/>
  <c r="S145" i="39"/>
  <c r="S146" i="39"/>
  <c r="S147" i="39"/>
  <c r="S148" i="39"/>
  <c r="S149" i="39"/>
  <c r="S150" i="39"/>
  <c r="S151" i="39"/>
  <c r="S152" i="39"/>
  <c r="S153" i="39"/>
  <c r="S154" i="39"/>
  <c r="S155" i="39"/>
  <c r="S156" i="39"/>
  <c r="S157" i="39"/>
  <c r="S158" i="39"/>
  <c r="S159" i="39"/>
  <c r="S160" i="39"/>
  <c r="S161" i="39"/>
  <c r="S162" i="39"/>
  <c r="S163" i="39"/>
  <c r="S164" i="39"/>
  <c r="S165" i="39"/>
  <c r="S166" i="39"/>
  <c r="S167" i="39"/>
  <c r="S168" i="39"/>
  <c r="S169" i="39"/>
  <c r="S170" i="39"/>
  <c r="S171" i="39"/>
  <c r="S172" i="39"/>
  <c r="S173" i="39"/>
  <c r="S174" i="39"/>
  <c r="S175" i="39"/>
  <c r="S176" i="39"/>
  <c r="S177" i="39"/>
  <c r="S178" i="39"/>
  <c r="S179" i="39"/>
  <c r="S180" i="39"/>
  <c r="S181" i="39"/>
  <c r="S182" i="39"/>
  <c r="S183" i="39"/>
  <c r="S184" i="39"/>
  <c r="S185" i="39"/>
  <c r="S186" i="39"/>
  <c r="S187" i="39"/>
  <c r="S188" i="39"/>
  <c r="S189" i="39"/>
  <c r="S190" i="39"/>
  <c r="S191" i="39"/>
  <c r="S192" i="39"/>
  <c r="S193" i="39"/>
  <c r="S194" i="39"/>
  <c r="S195" i="39"/>
  <c r="S196" i="39"/>
  <c r="S197" i="39"/>
  <c r="S198" i="39"/>
  <c r="S199" i="39"/>
  <c r="S200" i="39"/>
  <c r="S201" i="39"/>
  <c r="S202" i="39"/>
  <c r="S203" i="39"/>
  <c r="S204" i="39"/>
  <c r="S205" i="39"/>
  <c r="S206" i="39"/>
  <c r="S207" i="39"/>
  <c r="S208" i="39"/>
  <c r="S209" i="39"/>
  <c r="S210" i="39"/>
  <c r="S211" i="39"/>
  <c r="S212" i="39"/>
  <c r="S213" i="39"/>
  <c r="S214" i="39"/>
  <c r="S215" i="39"/>
  <c r="S216" i="39"/>
  <c r="S217" i="39"/>
  <c r="S218" i="39"/>
  <c r="S219" i="39"/>
  <c r="S220" i="39"/>
  <c r="S221" i="39"/>
  <c r="S222" i="39"/>
  <c r="S223" i="39"/>
  <c r="S224" i="39"/>
  <c r="S225" i="39"/>
  <c r="S226" i="39"/>
  <c r="R8" i="39"/>
  <c r="R9" i="39"/>
  <c r="R10" i="39"/>
  <c r="R11" i="39"/>
  <c r="R12" i="39"/>
  <c r="R13" i="39"/>
  <c r="R14" i="39"/>
  <c r="R15" i="39"/>
  <c r="R16" i="39"/>
  <c r="R17" i="39"/>
  <c r="R18" i="39"/>
  <c r="R19" i="39"/>
  <c r="R20" i="39"/>
  <c r="R21" i="39"/>
  <c r="R22" i="39"/>
  <c r="R23" i="39"/>
  <c r="R24" i="39"/>
  <c r="R25" i="39"/>
  <c r="R26" i="39"/>
  <c r="R27" i="39"/>
  <c r="R28" i="39"/>
  <c r="R29" i="39"/>
  <c r="R30" i="39"/>
  <c r="R31" i="39"/>
  <c r="R32" i="39"/>
  <c r="R33" i="39"/>
  <c r="R34" i="39"/>
  <c r="R35" i="39"/>
  <c r="R36" i="39"/>
  <c r="R37" i="39"/>
  <c r="R38" i="39"/>
  <c r="R39" i="39"/>
  <c r="R40" i="39"/>
  <c r="R41" i="39"/>
  <c r="R42" i="39"/>
  <c r="R43" i="39"/>
  <c r="R44" i="39"/>
  <c r="R45" i="39"/>
  <c r="R46" i="39"/>
  <c r="R47" i="39"/>
  <c r="R48" i="39"/>
  <c r="R49" i="39"/>
  <c r="R50" i="39"/>
  <c r="R51" i="39"/>
  <c r="R52" i="39"/>
  <c r="R53" i="39"/>
  <c r="R54" i="39"/>
  <c r="R55" i="39"/>
  <c r="R56" i="39"/>
  <c r="R57" i="39"/>
  <c r="R58" i="39"/>
  <c r="R59" i="39"/>
  <c r="R60" i="39"/>
  <c r="R61" i="39"/>
  <c r="R62" i="39"/>
  <c r="R63" i="39"/>
  <c r="R64" i="39"/>
  <c r="R65" i="39"/>
  <c r="R66" i="39"/>
  <c r="R67" i="39"/>
  <c r="R68" i="39"/>
  <c r="R69" i="39"/>
  <c r="R70" i="39"/>
  <c r="R71" i="39"/>
  <c r="R72" i="39"/>
  <c r="R73" i="39"/>
  <c r="R74" i="39"/>
  <c r="R75" i="39"/>
  <c r="R76" i="39"/>
  <c r="R77" i="39"/>
  <c r="R78" i="39"/>
  <c r="R79" i="39"/>
  <c r="R80" i="39"/>
  <c r="R81" i="39"/>
  <c r="R82" i="39"/>
  <c r="R83" i="39"/>
  <c r="R84" i="39"/>
  <c r="R85" i="39"/>
  <c r="R86" i="39"/>
  <c r="R87" i="39"/>
  <c r="R88" i="39"/>
  <c r="R89" i="39"/>
  <c r="R90" i="39"/>
  <c r="R91" i="39"/>
  <c r="R92" i="39"/>
  <c r="R93" i="39"/>
  <c r="R94" i="39"/>
  <c r="R95" i="39"/>
  <c r="R96" i="39"/>
  <c r="R97" i="39"/>
  <c r="R98" i="39"/>
  <c r="R99" i="39"/>
  <c r="R100" i="39"/>
  <c r="R101" i="39"/>
  <c r="R102" i="39"/>
  <c r="R103" i="39"/>
  <c r="R104" i="39"/>
  <c r="R105" i="39"/>
  <c r="R106" i="39"/>
  <c r="R107" i="39"/>
  <c r="R108" i="39"/>
  <c r="R109" i="39"/>
  <c r="R110" i="39"/>
  <c r="R111" i="39"/>
  <c r="R112" i="39"/>
  <c r="R113" i="39"/>
  <c r="R114" i="39"/>
  <c r="R115" i="39"/>
  <c r="R116" i="39"/>
  <c r="R117" i="39"/>
  <c r="R118" i="39"/>
  <c r="R119" i="39"/>
  <c r="R120" i="39"/>
  <c r="R121" i="39"/>
  <c r="R122" i="39"/>
  <c r="R123" i="39"/>
  <c r="R124" i="39"/>
  <c r="R125" i="39"/>
  <c r="R126" i="39"/>
  <c r="R127" i="39"/>
  <c r="R128" i="39"/>
  <c r="R129" i="39"/>
  <c r="R130" i="39"/>
  <c r="R131" i="39"/>
  <c r="R132" i="39"/>
  <c r="R133" i="39"/>
  <c r="R134" i="39"/>
  <c r="R135" i="39"/>
  <c r="R136" i="39"/>
  <c r="R137" i="39"/>
  <c r="R138" i="39"/>
  <c r="R139" i="39"/>
  <c r="R140" i="39"/>
  <c r="R141" i="39"/>
  <c r="R142" i="39"/>
  <c r="R143" i="39"/>
  <c r="R144" i="39"/>
  <c r="R145" i="39"/>
  <c r="R146" i="39"/>
  <c r="R147" i="39"/>
  <c r="R148" i="39"/>
  <c r="R149" i="39"/>
  <c r="R150" i="39"/>
  <c r="R151" i="39"/>
  <c r="R152" i="39"/>
  <c r="R153" i="39"/>
  <c r="R154" i="39"/>
  <c r="R155" i="39"/>
  <c r="R156" i="39"/>
  <c r="R157" i="39"/>
  <c r="R158" i="39"/>
  <c r="R159" i="39"/>
  <c r="R160" i="39"/>
  <c r="R161" i="39"/>
  <c r="R162" i="39"/>
  <c r="R163" i="39"/>
  <c r="R164" i="39"/>
  <c r="R165" i="39"/>
  <c r="R166" i="39"/>
  <c r="R167" i="39"/>
  <c r="R168" i="39"/>
  <c r="R169" i="39"/>
  <c r="R170" i="39"/>
  <c r="R171" i="39"/>
  <c r="R172" i="39"/>
  <c r="R173" i="39"/>
  <c r="R174" i="39"/>
  <c r="R175" i="39"/>
  <c r="R176" i="39"/>
  <c r="R177" i="39"/>
  <c r="R178" i="39"/>
  <c r="R179" i="39"/>
  <c r="R180" i="39"/>
  <c r="R181" i="39"/>
  <c r="R182" i="39"/>
  <c r="R183" i="39"/>
  <c r="R184" i="39"/>
  <c r="R185" i="39"/>
  <c r="R186" i="39"/>
  <c r="R187" i="39"/>
  <c r="R188" i="39"/>
  <c r="R189" i="39"/>
  <c r="R190" i="39"/>
  <c r="R191" i="39"/>
  <c r="R192" i="39"/>
  <c r="R193" i="39"/>
  <c r="R194" i="39"/>
  <c r="R195" i="39"/>
  <c r="R196" i="39"/>
  <c r="R197" i="39"/>
  <c r="R198" i="39"/>
  <c r="R199" i="39"/>
  <c r="R200" i="39"/>
  <c r="R201" i="39"/>
  <c r="R202" i="39"/>
  <c r="R203" i="39"/>
  <c r="R204" i="39"/>
  <c r="R205" i="39"/>
  <c r="R206" i="39"/>
  <c r="R207" i="39"/>
  <c r="R208" i="39"/>
  <c r="R209" i="39"/>
  <c r="R210" i="39"/>
  <c r="R211" i="39"/>
  <c r="R212" i="39"/>
  <c r="R213" i="39"/>
  <c r="R214" i="39"/>
  <c r="R215" i="39"/>
  <c r="R216" i="39"/>
  <c r="R217" i="39"/>
  <c r="R218" i="39"/>
  <c r="R219" i="39"/>
  <c r="R220" i="39"/>
  <c r="R221" i="39"/>
  <c r="R222" i="39"/>
  <c r="R223" i="39"/>
  <c r="R224" i="39"/>
  <c r="R225" i="39"/>
  <c r="R226" i="39"/>
  <c r="Q8" i="39"/>
  <c r="Q9" i="39"/>
  <c r="Q10" i="39"/>
  <c r="Q11" i="39"/>
  <c r="Q12" i="39"/>
  <c r="Q13" i="39"/>
  <c r="Q14" i="39"/>
  <c r="Q15" i="39"/>
  <c r="Q16" i="39"/>
  <c r="Q17" i="39"/>
  <c r="Q18" i="39"/>
  <c r="Q19" i="39"/>
  <c r="Q20" i="39"/>
  <c r="Q21" i="39"/>
  <c r="Q22" i="39"/>
  <c r="Q23" i="39"/>
  <c r="Q24" i="39"/>
  <c r="Q25" i="39"/>
  <c r="Q26" i="39"/>
  <c r="Q27" i="39"/>
  <c r="Q28" i="39"/>
  <c r="Q29" i="39"/>
  <c r="Q30" i="39"/>
  <c r="Q31" i="39"/>
  <c r="Q32" i="39"/>
  <c r="Q33" i="39"/>
  <c r="Q34" i="39"/>
  <c r="Q35" i="39"/>
  <c r="Q36" i="39"/>
  <c r="Q37" i="39"/>
  <c r="Q38" i="39"/>
  <c r="Q39" i="39"/>
  <c r="Q40" i="39"/>
  <c r="Q41" i="39"/>
  <c r="Q42" i="39"/>
  <c r="Q43" i="39"/>
  <c r="Q44" i="39"/>
  <c r="Q45" i="39"/>
  <c r="Q46" i="39"/>
  <c r="Q47" i="39"/>
  <c r="Q48" i="39"/>
  <c r="Q49" i="39"/>
  <c r="Q50" i="39"/>
  <c r="Q51" i="39"/>
  <c r="Q52" i="39"/>
  <c r="Q53" i="39"/>
  <c r="Q54" i="39"/>
  <c r="Q55" i="39"/>
  <c r="Q56" i="39"/>
  <c r="Q57" i="39"/>
  <c r="Q58" i="39"/>
  <c r="Q59" i="39"/>
  <c r="Q60" i="39"/>
  <c r="Q61" i="39"/>
  <c r="Q62" i="39"/>
  <c r="Q63" i="39"/>
  <c r="Q64" i="39"/>
  <c r="Q65" i="39"/>
  <c r="Q66" i="39"/>
  <c r="Q67" i="39"/>
  <c r="Q68" i="39"/>
  <c r="Q69" i="39"/>
  <c r="Q70" i="39"/>
  <c r="Q71" i="39"/>
  <c r="Q72" i="39"/>
  <c r="Q73" i="39"/>
  <c r="Q74" i="39"/>
  <c r="Q75" i="39"/>
  <c r="Q76" i="39"/>
  <c r="Q77" i="39"/>
  <c r="Q78" i="39"/>
  <c r="Q79" i="39"/>
  <c r="Q80" i="39"/>
  <c r="Q81" i="39"/>
  <c r="Q82" i="39"/>
  <c r="Q83" i="39"/>
  <c r="Q84" i="39"/>
  <c r="Q85" i="39"/>
  <c r="Q86" i="39"/>
  <c r="Q87" i="39"/>
  <c r="Q88" i="39"/>
  <c r="Q89" i="39"/>
  <c r="Q90" i="39"/>
  <c r="Q91" i="39"/>
  <c r="Q92" i="39"/>
  <c r="Q93" i="39"/>
  <c r="Q94" i="39"/>
  <c r="Q95" i="39"/>
  <c r="Q96" i="39"/>
  <c r="Q97" i="39"/>
  <c r="Q98" i="39"/>
  <c r="Q99" i="39"/>
  <c r="Q100" i="39"/>
  <c r="Q101" i="39"/>
  <c r="Q102" i="39"/>
  <c r="Q103" i="39"/>
  <c r="Q104" i="39"/>
  <c r="Q105" i="39"/>
  <c r="Q106" i="39"/>
  <c r="Q107" i="39"/>
  <c r="Q108" i="39"/>
  <c r="Q109" i="39"/>
  <c r="Q110" i="39"/>
  <c r="Q111" i="39"/>
  <c r="Q112" i="39"/>
  <c r="Q113" i="39"/>
  <c r="Q114" i="39"/>
  <c r="Q115" i="39"/>
  <c r="Q116" i="39"/>
  <c r="Q117" i="39"/>
  <c r="Q118" i="39"/>
  <c r="Q119" i="39"/>
  <c r="Q120" i="39"/>
  <c r="Q121" i="39"/>
  <c r="Q122" i="39"/>
  <c r="Q123" i="39"/>
  <c r="Q124" i="39"/>
  <c r="Q125" i="39"/>
  <c r="Q126" i="39"/>
  <c r="Q127" i="39"/>
  <c r="Q128" i="39"/>
  <c r="Q129" i="39"/>
  <c r="Q130" i="39"/>
  <c r="Q131" i="39"/>
  <c r="Q132" i="39"/>
  <c r="Q133" i="39"/>
  <c r="Q134" i="39"/>
  <c r="Q135" i="39"/>
  <c r="Q136" i="39"/>
  <c r="Q137" i="39"/>
  <c r="Q138" i="39"/>
  <c r="Q139" i="39"/>
  <c r="Q140" i="39"/>
  <c r="Q141" i="39"/>
  <c r="Q142" i="39"/>
  <c r="Q143" i="39"/>
  <c r="Q144" i="39"/>
  <c r="Q145" i="39"/>
  <c r="Q146" i="39"/>
  <c r="Q147" i="39"/>
  <c r="Q148" i="39"/>
  <c r="Q149" i="39"/>
  <c r="Q150" i="39"/>
  <c r="Q151" i="39"/>
  <c r="Q152" i="39"/>
  <c r="Q153" i="39"/>
  <c r="Q154" i="39"/>
  <c r="Q155" i="39"/>
  <c r="Q156" i="39"/>
  <c r="Q157" i="39"/>
  <c r="Q158" i="39"/>
  <c r="Q159" i="39"/>
  <c r="Q160" i="39"/>
  <c r="Q161" i="39"/>
  <c r="Q162" i="39"/>
  <c r="Q163" i="39"/>
  <c r="Q164" i="39"/>
  <c r="Q165" i="39"/>
  <c r="Q166" i="39"/>
  <c r="Q167" i="39"/>
  <c r="Q168" i="39"/>
  <c r="Q169" i="39"/>
  <c r="Q170" i="39"/>
  <c r="Q171" i="39"/>
  <c r="Q172" i="39"/>
  <c r="Q173" i="39"/>
  <c r="Q174" i="39"/>
  <c r="Q175" i="39"/>
  <c r="Q176" i="39"/>
  <c r="Q177" i="39"/>
  <c r="Q178" i="39"/>
  <c r="Q179" i="39"/>
  <c r="Q180" i="39"/>
  <c r="Q181" i="39"/>
  <c r="Q182" i="39"/>
  <c r="Q183" i="39"/>
  <c r="Q184" i="39"/>
  <c r="Q185" i="39"/>
  <c r="Q186" i="39"/>
  <c r="Q187" i="39"/>
  <c r="Q188" i="39"/>
  <c r="Q189" i="39"/>
  <c r="Q190" i="39"/>
  <c r="Q191" i="39"/>
  <c r="Q192" i="39"/>
  <c r="Q193" i="39"/>
  <c r="Q194" i="39"/>
  <c r="Q195" i="39"/>
  <c r="Q196" i="39"/>
  <c r="Q197" i="39"/>
  <c r="Q198" i="39"/>
  <c r="Q199" i="39"/>
  <c r="Q200" i="39"/>
  <c r="Q201" i="39"/>
  <c r="Q202" i="39"/>
  <c r="Q203" i="39"/>
  <c r="Q204" i="39"/>
  <c r="Q205" i="39"/>
  <c r="Q206" i="39"/>
  <c r="Q207" i="39"/>
  <c r="Q208" i="39"/>
  <c r="Q209" i="39"/>
  <c r="Q210" i="39"/>
  <c r="Q211" i="39"/>
  <c r="Q212" i="39"/>
  <c r="Q213" i="39"/>
  <c r="Q214" i="39"/>
  <c r="Q215" i="39"/>
  <c r="Q216" i="39"/>
  <c r="Q217" i="39"/>
  <c r="Q218" i="39"/>
  <c r="Q219" i="39"/>
  <c r="Q220" i="39"/>
  <c r="Q221" i="39"/>
  <c r="Q222" i="39"/>
  <c r="Q223" i="39"/>
  <c r="Q224" i="39"/>
  <c r="Q225" i="39"/>
  <c r="Q226" i="39"/>
  <c r="P8" i="39"/>
  <c r="P9" i="39"/>
  <c r="P10" i="39"/>
  <c r="P11" i="39"/>
  <c r="P12" i="39"/>
  <c r="P13" i="39"/>
  <c r="P14" i="39"/>
  <c r="P15" i="39"/>
  <c r="P16" i="39"/>
  <c r="P17" i="39"/>
  <c r="P18" i="39"/>
  <c r="P19" i="39"/>
  <c r="P20" i="39"/>
  <c r="P21" i="39"/>
  <c r="P22" i="39"/>
  <c r="P23" i="39"/>
  <c r="P24" i="39"/>
  <c r="P25" i="39"/>
  <c r="P26" i="39"/>
  <c r="P27" i="39"/>
  <c r="P28" i="39"/>
  <c r="P29" i="39"/>
  <c r="P30" i="39"/>
  <c r="P31" i="39"/>
  <c r="P32" i="39"/>
  <c r="P33" i="39"/>
  <c r="P34" i="39"/>
  <c r="P35" i="39"/>
  <c r="P36" i="39"/>
  <c r="P37" i="39"/>
  <c r="P38" i="39"/>
  <c r="P39" i="39"/>
  <c r="P40" i="39"/>
  <c r="P41" i="39"/>
  <c r="P42" i="39"/>
  <c r="P43" i="39"/>
  <c r="P44" i="39"/>
  <c r="P45" i="39"/>
  <c r="P46" i="39"/>
  <c r="P47" i="39"/>
  <c r="P48" i="39"/>
  <c r="P49" i="39"/>
  <c r="P50" i="39"/>
  <c r="P51" i="39"/>
  <c r="P52" i="39"/>
  <c r="P53" i="39"/>
  <c r="P54" i="39"/>
  <c r="P55" i="39"/>
  <c r="P56" i="39"/>
  <c r="P57" i="39"/>
  <c r="P58" i="39"/>
  <c r="P59" i="39"/>
  <c r="P60" i="39"/>
  <c r="P61" i="39"/>
  <c r="P62" i="39"/>
  <c r="P63" i="39"/>
  <c r="P64" i="39"/>
  <c r="P65" i="39"/>
  <c r="P66" i="39"/>
  <c r="P67" i="39"/>
  <c r="P68" i="39"/>
  <c r="P69" i="39"/>
  <c r="P70" i="39"/>
  <c r="P71" i="39"/>
  <c r="P72" i="39"/>
  <c r="P73" i="39"/>
  <c r="P74" i="39"/>
  <c r="P75" i="39"/>
  <c r="P76" i="39"/>
  <c r="P77" i="39"/>
  <c r="P78" i="39"/>
  <c r="P79" i="39"/>
  <c r="P80" i="39"/>
  <c r="P81" i="39"/>
  <c r="P82" i="39"/>
  <c r="P83" i="39"/>
  <c r="P84" i="39"/>
  <c r="P85" i="39"/>
  <c r="P86" i="39"/>
  <c r="P87" i="39"/>
  <c r="P88" i="39"/>
  <c r="P89" i="39"/>
  <c r="P90" i="39"/>
  <c r="P91" i="39"/>
  <c r="P92" i="39"/>
  <c r="P93" i="39"/>
  <c r="P94" i="39"/>
  <c r="P95" i="39"/>
  <c r="P96" i="39"/>
  <c r="P97" i="39"/>
  <c r="P98" i="39"/>
  <c r="P99" i="39"/>
  <c r="P100" i="39"/>
  <c r="P101" i="39"/>
  <c r="P102" i="39"/>
  <c r="P103" i="39"/>
  <c r="P104" i="39"/>
  <c r="P105" i="39"/>
  <c r="P106" i="39"/>
  <c r="P107" i="39"/>
  <c r="P108" i="39"/>
  <c r="P109" i="39"/>
  <c r="P110" i="39"/>
  <c r="P111" i="39"/>
  <c r="P112" i="39"/>
  <c r="P113" i="39"/>
  <c r="P114" i="39"/>
  <c r="P115" i="39"/>
  <c r="P116" i="39"/>
  <c r="P117" i="39"/>
  <c r="P118" i="39"/>
  <c r="P119" i="39"/>
  <c r="P120" i="39"/>
  <c r="P121" i="39"/>
  <c r="P122" i="39"/>
  <c r="P123" i="39"/>
  <c r="P124" i="39"/>
  <c r="P125" i="39"/>
  <c r="P126" i="39"/>
  <c r="P127" i="39"/>
  <c r="P128" i="39"/>
  <c r="P129" i="39"/>
  <c r="P130" i="39"/>
  <c r="P131" i="39"/>
  <c r="P132" i="39"/>
  <c r="P133" i="39"/>
  <c r="P134" i="39"/>
  <c r="P135" i="39"/>
  <c r="P136" i="39"/>
  <c r="P137" i="39"/>
  <c r="P138" i="39"/>
  <c r="P139" i="39"/>
  <c r="P140" i="39"/>
  <c r="P141" i="39"/>
  <c r="P142" i="39"/>
  <c r="P143" i="39"/>
  <c r="P144" i="39"/>
  <c r="P145" i="39"/>
  <c r="P146" i="39"/>
  <c r="P147" i="39"/>
  <c r="P148" i="39"/>
  <c r="P149" i="39"/>
  <c r="P150" i="39"/>
  <c r="P151" i="39"/>
  <c r="P152" i="39"/>
  <c r="P153" i="39"/>
  <c r="P154" i="39"/>
  <c r="P155" i="39"/>
  <c r="P156" i="39"/>
  <c r="P157" i="39"/>
  <c r="P158" i="39"/>
  <c r="P159" i="39"/>
  <c r="P160" i="39"/>
  <c r="P161" i="39"/>
  <c r="P162" i="39"/>
  <c r="P163" i="39"/>
  <c r="P164" i="39"/>
  <c r="P165" i="39"/>
  <c r="P166" i="39"/>
  <c r="P167" i="39"/>
  <c r="P168" i="39"/>
  <c r="P169" i="39"/>
  <c r="P170" i="39"/>
  <c r="P171" i="39"/>
  <c r="P172" i="39"/>
  <c r="P173" i="39"/>
  <c r="P174" i="39"/>
  <c r="P175" i="39"/>
  <c r="P176" i="39"/>
  <c r="P177" i="39"/>
  <c r="P178" i="39"/>
  <c r="P179" i="39"/>
  <c r="P180" i="39"/>
  <c r="P181" i="39"/>
  <c r="P182" i="39"/>
  <c r="P183" i="39"/>
  <c r="P184" i="39"/>
  <c r="P185" i="39"/>
  <c r="P186" i="39"/>
  <c r="P187" i="39"/>
  <c r="P188" i="39"/>
  <c r="P189" i="39"/>
  <c r="P190" i="39"/>
  <c r="P191" i="39"/>
  <c r="P192" i="39"/>
  <c r="P193" i="39"/>
  <c r="P194" i="39"/>
  <c r="P195" i="39"/>
  <c r="P196" i="39"/>
  <c r="P197" i="39"/>
  <c r="P198" i="39"/>
  <c r="P199" i="39"/>
  <c r="P200" i="39"/>
  <c r="P201" i="39"/>
  <c r="P202" i="39"/>
  <c r="P203" i="39"/>
  <c r="P204" i="39"/>
  <c r="P205" i="39"/>
  <c r="P206" i="39"/>
  <c r="P207" i="39"/>
  <c r="P208" i="39"/>
  <c r="P209" i="39"/>
  <c r="P210" i="39"/>
  <c r="P211" i="39"/>
  <c r="P212" i="39"/>
  <c r="P213" i="39"/>
  <c r="P214" i="39"/>
  <c r="P215" i="39"/>
  <c r="P216" i="39"/>
  <c r="P217" i="39"/>
  <c r="P218" i="39"/>
  <c r="P219" i="39"/>
  <c r="P220" i="39"/>
  <c r="P221" i="39"/>
  <c r="P222" i="39"/>
  <c r="P223" i="39"/>
  <c r="P224" i="39"/>
  <c r="P225" i="39"/>
  <c r="P226" i="39"/>
  <c r="O8" i="39"/>
  <c r="O9" i="39"/>
  <c r="O10" i="39"/>
  <c r="C96" i="60" s="1"/>
  <c r="O11" i="39"/>
  <c r="O12" i="39"/>
  <c r="O13" i="39"/>
  <c r="O14" i="39"/>
  <c r="O15" i="39"/>
  <c r="O16" i="39"/>
  <c r="O17" i="39"/>
  <c r="O18" i="39"/>
  <c r="O19" i="39"/>
  <c r="O20" i="39"/>
  <c r="O21" i="39"/>
  <c r="O22" i="39"/>
  <c r="O23" i="39"/>
  <c r="O24" i="39"/>
  <c r="O25" i="39"/>
  <c r="O26" i="39"/>
  <c r="O27" i="39"/>
  <c r="O28" i="39"/>
  <c r="O29" i="39"/>
  <c r="O30" i="39"/>
  <c r="O31" i="39"/>
  <c r="O32" i="39"/>
  <c r="O33" i="39"/>
  <c r="O34" i="39"/>
  <c r="O35" i="39"/>
  <c r="O36" i="39"/>
  <c r="O37" i="39"/>
  <c r="O38" i="39"/>
  <c r="O39" i="39"/>
  <c r="O40" i="39"/>
  <c r="O41" i="39"/>
  <c r="O42" i="39"/>
  <c r="O43" i="39"/>
  <c r="O44" i="39"/>
  <c r="O45" i="39"/>
  <c r="O46" i="39"/>
  <c r="O47" i="39"/>
  <c r="O48" i="39"/>
  <c r="O49" i="39"/>
  <c r="O50" i="39"/>
  <c r="O51" i="39"/>
  <c r="O52" i="39"/>
  <c r="O53" i="39"/>
  <c r="O54" i="39"/>
  <c r="O55" i="39"/>
  <c r="O56" i="39"/>
  <c r="O57" i="39"/>
  <c r="O58" i="39"/>
  <c r="O59" i="39"/>
  <c r="O60" i="39"/>
  <c r="O61" i="39"/>
  <c r="O62" i="39"/>
  <c r="O63" i="39"/>
  <c r="O64" i="39"/>
  <c r="O65" i="39"/>
  <c r="O66" i="39"/>
  <c r="O67" i="39"/>
  <c r="O68" i="39"/>
  <c r="O69" i="39"/>
  <c r="O70" i="39"/>
  <c r="O71" i="39"/>
  <c r="O72" i="39"/>
  <c r="O73" i="39"/>
  <c r="O74" i="39"/>
  <c r="O75" i="39"/>
  <c r="O76" i="39"/>
  <c r="O77" i="39"/>
  <c r="O78" i="39"/>
  <c r="O79" i="39"/>
  <c r="O80" i="39"/>
  <c r="O81" i="39"/>
  <c r="O82" i="39"/>
  <c r="O83" i="39"/>
  <c r="O84" i="39"/>
  <c r="O85" i="39"/>
  <c r="O86" i="39"/>
  <c r="O87" i="39"/>
  <c r="O88" i="39"/>
  <c r="O89" i="39"/>
  <c r="O90" i="39"/>
  <c r="O91" i="39"/>
  <c r="O92" i="39"/>
  <c r="O93" i="39"/>
  <c r="O94" i="39"/>
  <c r="O95" i="39"/>
  <c r="O96" i="39"/>
  <c r="O97" i="39"/>
  <c r="O98" i="39"/>
  <c r="O99" i="39"/>
  <c r="O100" i="39"/>
  <c r="O101" i="39"/>
  <c r="O102" i="39"/>
  <c r="O103" i="39"/>
  <c r="O104" i="39"/>
  <c r="O105" i="39"/>
  <c r="O106" i="39"/>
  <c r="O107" i="39"/>
  <c r="O108" i="39"/>
  <c r="O109" i="39"/>
  <c r="O110" i="39"/>
  <c r="O111" i="39"/>
  <c r="O112" i="39"/>
  <c r="O113" i="39"/>
  <c r="O114" i="39"/>
  <c r="O115" i="39"/>
  <c r="O116" i="39"/>
  <c r="O117" i="39"/>
  <c r="O118" i="39"/>
  <c r="O119" i="39"/>
  <c r="O120" i="39"/>
  <c r="O121" i="39"/>
  <c r="O122" i="39"/>
  <c r="O123" i="39"/>
  <c r="O124" i="39"/>
  <c r="O125" i="39"/>
  <c r="O126" i="39"/>
  <c r="O127" i="39"/>
  <c r="O128" i="39"/>
  <c r="O129" i="39"/>
  <c r="O130" i="39"/>
  <c r="O131" i="39"/>
  <c r="O132" i="39"/>
  <c r="O133" i="39"/>
  <c r="O134" i="39"/>
  <c r="O135" i="39"/>
  <c r="O136" i="39"/>
  <c r="O137" i="39"/>
  <c r="O138" i="39"/>
  <c r="O139" i="39"/>
  <c r="O140" i="39"/>
  <c r="O141" i="39"/>
  <c r="O142" i="39"/>
  <c r="O143" i="39"/>
  <c r="O144" i="39"/>
  <c r="O145" i="39"/>
  <c r="O146" i="39"/>
  <c r="O147" i="39"/>
  <c r="O148" i="39"/>
  <c r="O149" i="39"/>
  <c r="O150" i="39"/>
  <c r="O151" i="39"/>
  <c r="O152" i="39"/>
  <c r="O153" i="39"/>
  <c r="O154" i="39"/>
  <c r="O155" i="39"/>
  <c r="O156" i="39"/>
  <c r="O157" i="39"/>
  <c r="O158" i="39"/>
  <c r="O159" i="39"/>
  <c r="O160" i="39"/>
  <c r="O161" i="39"/>
  <c r="O162" i="39"/>
  <c r="O163" i="39"/>
  <c r="O164" i="39"/>
  <c r="O165" i="39"/>
  <c r="O166" i="39"/>
  <c r="O167" i="39"/>
  <c r="O168" i="39"/>
  <c r="O169" i="39"/>
  <c r="O170" i="39"/>
  <c r="O171" i="39"/>
  <c r="O172" i="39"/>
  <c r="O173" i="39"/>
  <c r="O174" i="39"/>
  <c r="O175" i="39"/>
  <c r="O176" i="39"/>
  <c r="O177" i="39"/>
  <c r="O178" i="39"/>
  <c r="O179" i="39"/>
  <c r="O180" i="39"/>
  <c r="O181" i="39"/>
  <c r="O182" i="39"/>
  <c r="O183" i="39"/>
  <c r="O184" i="39"/>
  <c r="O185" i="39"/>
  <c r="O186" i="39"/>
  <c r="O187" i="39"/>
  <c r="O188" i="39"/>
  <c r="O189" i="39"/>
  <c r="O190" i="39"/>
  <c r="O191" i="39"/>
  <c r="O192" i="39"/>
  <c r="O193" i="39"/>
  <c r="O194" i="39"/>
  <c r="O195" i="39"/>
  <c r="O196" i="39"/>
  <c r="O197" i="39"/>
  <c r="O198" i="39"/>
  <c r="O199" i="39"/>
  <c r="O200" i="39"/>
  <c r="O201" i="39"/>
  <c r="O202" i="39"/>
  <c r="O203" i="39"/>
  <c r="O204" i="39"/>
  <c r="O205" i="39"/>
  <c r="O206" i="39"/>
  <c r="O207" i="39"/>
  <c r="O208" i="39"/>
  <c r="O209" i="39"/>
  <c r="O210" i="39"/>
  <c r="O211" i="39"/>
  <c r="O212" i="39"/>
  <c r="O213" i="39"/>
  <c r="O214" i="39"/>
  <c r="O215" i="39"/>
  <c r="O216" i="39"/>
  <c r="O217" i="39"/>
  <c r="O218" i="39"/>
  <c r="O219" i="39"/>
  <c r="O220" i="39"/>
  <c r="O221" i="39"/>
  <c r="O222" i="39"/>
  <c r="O223" i="39"/>
  <c r="O224" i="39"/>
  <c r="O225" i="39"/>
  <c r="O226" i="39"/>
  <c r="N8" i="39"/>
  <c r="N9" i="39"/>
  <c r="N10" i="39"/>
  <c r="N11" i="39"/>
  <c r="N12" i="39"/>
  <c r="N13" i="39"/>
  <c r="N14" i="39"/>
  <c r="N15" i="39"/>
  <c r="N16" i="39"/>
  <c r="N17" i="39"/>
  <c r="N18" i="39"/>
  <c r="N19" i="39"/>
  <c r="N20" i="39"/>
  <c r="N21" i="39"/>
  <c r="N22" i="39"/>
  <c r="N23" i="39"/>
  <c r="N24" i="39"/>
  <c r="N25" i="39"/>
  <c r="N26" i="39"/>
  <c r="N27" i="39"/>
  <c r="N28" i="39"/>
  <c r="N29" i="39"/>
  <c r="N30" i="39"/>
  <c r="N31" i="39"/>
  <c r="N32" i="39"/>
  <c r="N33" i="39"/>
  <c r="N34" i="39"/>
  <c r="N35" i="39"/>
  <c r="N36" i="39"/>
  <c r="N37" i="39"/>
  <c r="N38" i="39"/>
  <c r="N39" i="39"/>
  <c r="N40" i="39"/>
  <c r="N41" i="39"/>
  <c r="N42" i="39"/>
  <c r="N43" i="39"/>
  <c r="N44" i="39"/>
  <c r="N45" i="39"/>
  <c r="N46" i="39"/>
  <c r="N47" i="39"/>
  <c r="N48" i="39"/>
  <c r="N49" i="39"/>
  <c r="N50" i="39"/>
  <c r="N51" i="39"/>
  <c r="N52" i="39"/>
  <c r="N53" i="39"/>
  <c r="N54" i="39"/>
  <c r="N55" i="39"/>
  <c r="N56" i="39"/>
  <c r="N57" i="39"/>
  <c r="N58" i="39"/>
  <c r="N59" i="39"/>
  <c r="N60" i="39"/>
  <c r="N61" i="39"/>
  <c r="N62" i="39"/>
  <c r="N63" i="39"/>
  <c r="N64" i="39"/>
  <c r="N65" i="39"/>
  <c r="N66" i="39"/>
  <c r="N67" i="39"/>
  <c r="N68" i="39"/>
  <c r="N69" i="39"/>
  <c r="N70" i="39"/>
  <c r="N71" i="39"/>
  <c r="N72" i="39"/>
  <c r="N73" i="39"/>
  <c r="N74" i="39"/>
  <c r="N75" i="39"/>
  <c r="N76" i="39"/>
  <c r="N77" i="39"/>
  <c r="N78" i="39"/>
  <c r="N79" i="39"/>
  <c r="N80" i="39"/>
  <c r="N81" i="39"/>
  <c r="N82" i="39"/>
  <c r="N83" i="39"/>
  <c r="N84" i="39"/>
  <c r="N85" i="39"/>
  <c r="N86" i="39"/>
  <c r="N87" i="39"/>
  <c r="N88" i="39"/>
  <c r="N89" i="39"/>
  <c r="N90" i="39"/>
  <c r="N91" i="39"/>
  <c r="N92" i="39"/>
  <c r="N93" i="39"/>
  <c r="N94" i="39"/>
  <c r="N95" i="39"/>
  <c r="N96" i="39"/>
  <c r="N97" i="39"/>
  <c r="N98" i="39"/>
  <c r="N99" i="39"/>
  <c r="N100" i="39"/>
  <c r="N101" i="39"/>
  <c r="N102" i="39"/>
  <c r="N103" i="39"/>
  <c r="N104" i="39"/>
  <c r="N105" i="39"/>
  <c r="N106" i="39"/>
  <c r="N107" i="39"/>
  <c r="N108" i="39"/>
  <c r="N109" i="39"/>
  <c r="N110" i="39"/>
  <c r="N111" i="39"/>
  <c r="N112" i="39"/>
  <c r="N113" i="39"/>
  <c r="N114" i="39"/>
  <c r="N115" i="39"/>
  <c r="N116" i="39"/>
  <c r="N117" i="39"/>
  <c r="N118" i="39"/>
  <c r="N119" i="39"/>
  <c r="N120" i="39"/>
  <c r="N121" i="39"/>
  <c r="N122" i="39"/>
  <c r="N123" i="39"/>
  <c r="N124" i="39"/>
  <c r="N125" i="39"/>
  <c r="N126" i="39"/>
  <c r="N127" i="39"/>
  <c r="N128" i="39"/>
  <c r="N129" i="39"/>
  <c r="N130" i="39"/>
  <c r="N131" i="39"/>
  <c r="N132" i="39"/>
  <c r="N133" i="39"/>
  <c r="N134" i="39"/>
  <c r="N135" i="39"/>
  <c r="N136" i="39"/>
  <c r="N137" i="39"/>
  <c r="N138" i="39"/>
  <c r="N139" i="39"/>
  <c r="N140" i="39"/>
  <c r="N141" i="39"/>
  <c r="N142" i="39"/>
  <c r="N143" i="39"/>
  <c r="N144" i="39"/>
  <c r="N145" i="39"/>
  <c r="N146" i="39"/>
  <c r="N147" i="39"/>
  <c r="N148" i="39"/>
  <c r="N149" i="39"/>
  <c r="N150" i="39"/>
  <c r="N151" i="39"/>
  <c r="N152" i="39"/>
  <c r="N153" i="39"/>
  <c r="N154" i="39"/>
  <c r="N155" i="39"/>
  <c r="N156" i="39"/>
  <c r="N157" i="39"/>
  <c r="N158" i="39"/>
  <c r="N159" i="39"/>
  <c r="N160" i="39"/>
  <c r="N161" i="39"/>
  <c r="N162" i="39"/>
  <c r="N163" i="39"/>
  <c r="N164" i="39"/>
  <c r="N165" i="39"/>
  <c r="N166" i="39"/>
  <c r="N167" i="39"/>
  <c r="N168" i="39"/>
  <c r="N169" i="39"/>
  <c r="N170" i="39"/>
  <c r="N171" i="39"/>
  <c r="N172" i="39"/>
  <c r="N173" i="39"/>
  <c r="N174" i="39"/>
  <c r="N175" i="39"/>
  <c r="N176" i="39"/>
  <c r="N177" i="39"/>
  <c r="N178" i="39"/>
  <c r="N179" i="39"/>
  <c r="N180" i="39"/>
  <c r="N181" i="39"/>
  <c r="N182" i="39"/>
  <c r="N183" i="39"/>
  <c r="N184" i="39"/>
  <c r="N185" i="39"/>
  <c r="N186" i="39"/>
  <c r="N187" i="39"/>
  <c r="N188" i="39"/>
  <c r="N189" i="39"/>
  <c r="N190" i="39"/>
  <c r="N191" i="39"/>
  <c r="N192" i="39"/>
  <c r="N193" i="39"/>
  <c r="N194" i="39"/>
  <c r="N195" i="39"/>
  <c r="N196" i="39"/>
  <c r="N197" i="39"/>
  <c r="N198" i="39"/>
  <c r="N199" i="39"/>
  <c r="N200" i="39"/>
  <c r="N201" i="39"/>
  <c r="N202" i="39"/>
  <c r="N203" i="39"/>
  <c r="N204" i="39"/>
  <c r="N205" i="39"/>
  <c r="N206" i="39"/>
  <c r="N207" i="39"/>
  <c r="N208" i="39"/>
  <c r="N209" i="39"/>
  <c r="N210" i="39"/>
  <c r="N211" i="39"/>
  <c r="N212" i="39"/>
  <c r="N213" i="39"/>
  <c r="N214" i="39"/>
  <c r="N215" i="39"/>
  <c r="N216" i="39"/>
  <c r="N217" i="39"/>
  <c r="N218" i="39"/>
  <c r="N219" i="39"/>
  <c r="N220" i="39"/>
  <c r="N221" i="39"/>
  <c r="N222" i="39"/>
  <c r="N223" i="39"/>
  <c r="N224" i="39"/>
  <c r="N225" i="39"/>
  <c r="N226" i="39"/>
  <c r="M8" i="39"/>
  <c r="M9" i="39"/>
  <c r="M10" i="39"/>
  <c r="M11" i="39"/>
  <c r="M12" i="39"/>
  <c r="M13" i="39"/>
  <c r="M14" i="39"/>
  <c r="M15" i="39"/>
  <c r="M16" i="39"/>
  <c r="M17" i="39"/>
  <c r="M18" i="39"/>
  <c r="M19" i="39"/>
  <c r="M20" i="39"/>
  <c r="M21" i="39"/>
  <c r="M22" i="39"/>
  <c r="M23" i="39"/>
  <c r="M24" i="39"/>
  <c r="M25" i="39"/>
  <c r="M26" i="39"/>
  <c r="M27" i="39"/>
  <c r="M28" i="39"/>
  <c r="M29" i="39"/>
  <c r="M30" i="39"/>
  <c r="M31" i="39"/>
  <c r="M32" i="39"/>
  <c r="M33" i="39"/>
  <c r="M34" i="39"/>
  <c r="M35" i="39"/>
  <c r="M36" i="39"/>
  <c r="M37" i="39"/>
  <c r="M38" i="39"/>
  <c r="M39" i="39"/>
  <c r="M40" i="39"/>
  <c r="M41" i="39"/>
  <c r="M42" i="39"/>
  <c r="M43" i="39"/>
  <c r="M44" i="39"/>
  <c r="M45" i="39"/>
  <c r="M46" i="39"/>
  <c r="M47" i="39"/>
  <c r="M48" i="39"/>
  <c r="M49" i="39"/>
  <c r="M50" i="39"/>
  <c r="M51" i="39"/>
  <c r="M52" i="39"/>
  <c r="M53" i="39"/>
  <c r="M54" i="39"/>
  <c r="M55" i="39"/>
  <c r="M56" i="39"/>
  <c r="M57" i="39"/>
  <c r="M58" i="39"/>
  <c r="M59" i="39"/>
  <c r="M60" i="39"/>
  <c r="M61" i="39"/>
  <c r="M62" i="39"/>
  <c r="M63" i="39"/>
  <c r="M64" i="39"/>
  <c r="M65" i="39"/>
  <c r="M66" i="39"/>
  <c r="M67" i="39"/>
  <c r="M68" i="39"/>
  <c r="M69" i="39"/>
  <c r="M70" i="39"/>
  <c r="M71" i="39"/>
  <c r="M72" i="39"/>
  <c r="M73" i="39"/>
  <c r="M74" i="39"/>
  <c r="M75" i="39"/>
  <c r="M76" i="39"/>
  <c r="M77" i="39"/>
  <c r="M78" i="39"/>
  <c r="M79" i="39"/>
  <c r="M80" i="39"/>
  <c r="M81" i="39"/>
  <c r="M82" i="39"/>
  <c r="M83" i="39"/>
  <c r="M84" i="39"/>
  <c r="M85" i="39"/>
  <c r="M86" i="39"/>
  <c r="M87" i="39"/>
  <c r="M88" i="39"/>
  <c r="M89" i="39"/>
  <c r="M90" i="39"/>
  <c r="M91" i="39"/>
  <c r="M92" i="39"/>
  <c r="M93" i="39"/>
  <c r="M94" i="39"/>
  <c r="M95" i="39"/>
  <c r="M96" i="39"/>
  <c r="M97" i="39"/>
  <c r="M98" i="39"/>
  <c r="M99" i="39"/>
  <c r="M100" i="39"/>
  <c r="M101" i="39"/>
  <c r="M102" i="39"/>
  <c r="M103" i="39"/>
  <c r="M104" i="39"/>
  <c r="M105" i="39"/>
  <c r="M106" i="39"/>
  <c r="M107" i="39"/>
  <c r="M108" i="39"/>
  <c r="M109" i="39"/>
  <c r="M110" i="39"/>
  <c r="M111" i="39"/>
  <c r="M112" i="39"/>
  <c r="M113" i="39"/>
  <c r="M114" i="39"/>
  <c r="M115" i="39"/>
  <c r="M116" i="39"/>
  <c r="M117" i="39"/>
  <c r="M118" i="39"/>
  <c r="M119" i="39"/>
  <c r="M120" i="39"/>
  <c r="M121" i="39"/>
  <c r="M122" i="39"/>
  <c r="M123" i="39"/>
  <c r="M124" i="39"/>
  <c r="M125" i="39"/>
  <c r="M126" i="39"/>
  <c r="M127" i="39"/>
  <c r="M128" i="39"/>
  <c r="M129" i="39"/>
  <c r="M130" i="39"/>
  <c r="M131" i="39"/>
  <c r="M132" i="39"/>
  <c r="M133" i="39"/>
  <c r="M134" i="39"/>
  <c r="M135" i="39"/>
  <c r="M136" i="39"/>
  <c r="M137" i="39"/>
  <c r="M138" i="39"/>
  <c r="M139" i="39"/>
  <c r="M140" i="39"/>
  <c r="M141" i="39"/>
  <c r="M142" i="39"/>
  <c r="M143" i="39"/>
  <c r="M144" i="39"/>
  <c r="M145" i="39"/>
  <c r="M146" i="39"/>
  <c r="M147" i="39"/>
  <c r="M148" i="39"/>
  <c r="M149" i="39"/>
  <c r="M150" i="39"/>
  <c r="M151" i="39"/>
  <c r="M152" i="39"/>
  <c r="M153" i="39"/>
  <c r="M154" i="39"/>
  <c r="M155" i="39"/>
  <c r="M156" i="39"/>
  <c r="M157" i="39"/>
  <c r="M158" i="39"/>
  <c r="M159" i="39"/>
  <c r="M160" i="39"/>
  <c r="M161" i="39"/>
  <c r="M162" i="39"/>
  <c r="M163" i="39"/>
  <c r="M164" i="39"/>
  <c r="M165" i="39"/>
  <c r="M166" i="39"/>
  <c r="M167" i="39"/>
  <c r="M168" i="39"/>
  <c r="M169" i="39"/>
  <c r="M170" i="39"/>
  <c r="M171" i="39"/>
  <c r="M172" i="39"/>
  <c r="M173" i="39"/>
  <c r="M174" i="39"/>
  <c r="M175" i="39"/>
  <c r="M176" i="39"/>
  <c r="M177" i="39"/>
  <c r="M178" i="39"/>
  <c r="M179" i="39"/>
  <c r="M180" i="39"/>
  <c r="M181" i="39"/>
  <c r="M182" i="39"/>
  <c r="M183" i="39"/>
  <c r="M184" i="39"/>
  <c r="M185" i="39"/>
  <c r="M186" i="39"/>
  <c r="M187" i="39"/>
  <c r="M188" i="39"/>
  <c r="M189" i="39"/>
  <c r="M190" i="39"/>
  <c r="M191" i="39"/>
  <c r="M192" i="39"/>
  <c r="M193" i="39"/>
  <c r="M194" i="39"/>
  <c r="M195" i="39"/>
  <c r="M196" i="39"/>
  <c r="M197" i="39"/>
  <c r="M198" i="39"/>
  <c r="M199" i="39"/>
  <c r="M200" i="39"/>
  <c r="M201" i="39"/>
  <c r="M202" i="39"/>
  <c r="M203" i="39"/>
  <c r="M204" i="39"/>
  <c r="M205" i="39"/>
  <c r="M206" i="39"/>
  <c r="M207" i="39"/>
  <c r="M208" i="39"/>
  <c r="M209" i="39"/>
  <c r="M210" i="39"/>
  <c r="M211" i="39"/>
  <c r="M212" i="39"/>
  <c r="M213" i="39"/>
  <c r="M214" i="39"/>
  <c r="M215" i="39"/>
  <c r="M216" i="39"/>
  <c r="M217" i="39"/>
  <c r="M218" i="39"/>
  <c r="M219" i="39"/>
  <c r="M220" i="39"/>
  <c r="M221" i="39"/>
  <c r="M222" i="39"/>
  <c r="M223" i="39"/>
  <c r="M224" i="39"/>
  <c r="M225" i="39"/>
  <c r="M226" i="39"/>
  <c r="L8" i="39"/>
  <c r="L9" i="39"/>
  <c r="L10" i="39"/>
  <c r="L11" i="39"/>
  <c r="L12" i="39"/>
  <c r="L13" i="39"/>
  <c r="L14" i="39"/>
  <c r="L15" i="39"/>
  <c r="L16" i="39"/>
  <c r="L17" i="39"/>
  <c r="L18" i="39"/>
  <c r="L19" i="39"/>
  <c r="L20" i="39"/>
  <c r="L21" i="39"/>
  <c r="L22" i="39"/>
  <c r="L23" i="39"/>
  <c r="L24" i="39"/>
  <c r="L25" i="39"/>
  <c r="L26" i="39"/>
  <c r="L27" i="39"/>
  <c r="L28" i="39"/>
  <c r="L29" i="39"/>
  <c r="L30" i="39"/>
  <c r="L31" i="39"/>
  <c r="L32" i="39"/>
  <c r="L33" i="39"/>
  <c r="L34" i="39"/>
  <c r="L35" i="39"/>
  <c r="L36" i="39"/>
  <c r="L37" i="39"/>
  <c r="L38" i="39"/>
  <c r="L39" i="39"/>
  <c r="L40" i="39"/>
  <c r="L41" i="39"/>
  <c r="L42" i="39"/>
  <c r="L43" i="39"/>
  <c r="L44" i="39"/>
  <c r="L45" i="39"/>
  <c r="L46" i="39"/>
  <c r="L47" i="39"/>
  <c r="L48" i="39"/>
  <c r="L49" i="39"/>
  <c r="L50" i="39"/>
  <c r="L51" i="39"/>
  <c r="L52" i="39"/>
  <c r="L53" i="39"/>
  <c r="L54" i="39"/>
  <c r="L55" i="39"/>
  <c r="L56" i="39"/>
  <c r="L57" i="39"/>
  <c r="L58" i="39"/>
  <c r="L59" i="39"/>
  <c r="L60" i="39"/>
  <c r="L61" i="39"/>
  <c r="L62" i="39"/>
  <c r="L63" i="39"/>
  <c r="L64" i="39"/>
  <c r="L65" i="39"/>
  <c r="L66" i="39"/>
  <c r="L67" i="39"/>
  <c r="L68" i="39"/>
  <c r="L69" i="39"/>
  <c r="L70" i="39"/>
  <c r="L71" i="39"/>
  <c r="L72" i="39"/>
  <c r="L73" i="39"/>
  <c r="L74" i="39"/>
  <c r="L75" i="39"/>
  <c r="L76" i="39"/>
  <c r="L77" i="39"/>
  <c r="L78" i="39"/>
  <c r="L79" i="39"/>
  <c r="L80" i="39"/>
  <c r="L81" i="39"/>
  <c r="L82" i="39"/>
  <c r="L83" i="39"/>
  <c r="L84" i="39"/>
  <c r="L85" i="39"/>
  <c r="L86" i="39"/>
  <c r="L87" i="39"/>
  <c r="L88" i="39"/>
  <c r="L89" i="39"/>
  <c r="L90" i="39"/>
  <c r="L91" i="39"/>
  <c r="L92" i="39"/>
  <c r="L93" i="39"/>
  <c r="L94" i="39"/>
  <c r="L95" i="39"/>
  <c r="L96" i="39"/>
  <c r="L97" i="39"/>
  <c r="L98" i="39"/>
  <c r="L99" i="39"/>
  <c r="L100" i="39"/>
  <c r="L101" i="39"/>
  <c r="L102" i="39"/>
  <c r="L103" i="39"/>
  <c r="L104" i="39"/>
  <c r="L105" i="39"/>
  <c r="L106" i="39"/>
  <c r="L107" i="39"/>
  <c r="L108" i="39"/>
  <c r="L109" i="39"/>
  <c r="L110" i="39"/>
  <c r="L111" i="39"/>
  <c r="L112" i="39"/>
  <c r="L113" i="39"/>
  <c r="L114" i="39"/>
  <c r="L115" i="39"/>
  <c r="L116" i="39"/>
  <c r="L117" i="39"/>
  <c r="L118" i="39"/>
  <c r="L119" i="39"/>
  <c r="L120" i="39"/>
  <c r="L121" i="39"/>
  <c r="L122" i="39"/>
  <c r="L123" i="39"/>
  <c r="L124" i="39"/>
  <c r="L125" i="39"/>
  <c r="L126" i="39"/>
  <c r="L127" i="39"/>
  <c r="L128" i="39"/>
  <c r="L129" i="39"/>
  <c r="L130" i="39"/>
  <c r="L131" i="39"/>
  <c r="L132" i="39"/>
  <c r="L133" i="39"/>
  <c r="L134" i="39"/>
  <c r="L135" i="39"/>
  <c r="L136" i="39"/>
  <c r="L137" i="39"/>
  <c r="L138" i="39"/>
  <c r="L139" i="39"/>
  <c r="L140" i="39"/>
  <c r="L141" i="39"/>
  <c r="L142" i="39"/>
  <c r="L143" i="39"/>
  <c r="L144" i="39"/>
  <c r="L145" i="39"/>
  <c r="L146" i="39"/>
  <c r="L147" i="39"/>
  <c r="L148" i="39"/>
  <c r="L149" i="39"/>
  <c r="L150" i="39"/>
  <c r="L151" i="39"/>
  <c r="L152" i="39"/>
  <c r="L153" i="39"/>
  <c r="L154" i="39"/>
  <c r="L155" i="39"/>
  <c r="L156" i="39"/>
  <c r="L157" i="39"/>
  <c r="L158" i="39"/>
  <c r="L159" i="39"/>
  <c r="L160" i="39"/>
  <c r="L161" i="39"/>
  <c r="L162" i="39"/>
  <c r="L163" i="39"/>
  <c r="L164" i="39"/>
  <c r="L165" i="39"/>
  <c r="L166" i="39"/>
  <c r="L167" i="39"/>
  <c r="L168" i="39"/>
  <c r="L169" i="39"/>
  <c r="L170" i="39"/>
  <c r="L171" i="39"/>
  <c r="L172" i="39"/>
  <c r="L173" i="39"/>
  <c r="L174" i="39"/>
  <c r="L175" i="39"/>
  <c r="L176" i="39"/>
  <c r="L177" i="39"/>
  <c r="L178" i="39"/>
  <c r="L179" i="39"/>
  <c r="L180" i="39"/>
  <c r="L181" i="39"/>
  <c r="L182" i="39"/>
  <c r="L183" i="39"/>
  <c r="L184" i="39"/>
  <c r="L185" i="39"/>
  <c r="L186" i="39"/>
  <c r="L187" i="39"/>
  <c r="L188" i="39"/>
  <c r="L189" i="39"/>
  <c r="L190" i="39"/>
  <c r="L191" i="39"/>
  <c r="L192" i="39"/>
  <c r="L193" i="39"/>
  <c r="L194" i="39"/>
  <c r="L195" i="39"/>
  <c r="L196" i="39"/>
  <c r="L197" i="39"/>
  <c r="L198" i="39"/>
  <c r="L199" i="39"/>
  <c r="L200" i="39"/>
  <c r="L201" i="39"/>
  <c r="L202" i="39"/>
  <c r="L203" i="39"/>
  <c r="L204" i="39"/>
  <c r="L205" i="39"/>
  <c r="L206" i="39"/>
  <c r="L207" i="39"/>
  <c r="L208" i="39"/>
  <c r="L209" i="39"/>
  <c r="L210" i="39"/>
  <c r="L211" i="39"/>
  <c r="L212" i="39"/>
  <c r="L213" i="39"/>
  <c r="L214" i="39"/>
  <c r="L215" i="39"/>
  <c r="L216" i="39"/>
  <c r="L217" i="39"/>
  <c r="L218" i="39"/>
  <c r="L219" i="39"/>
  <c r="L220" i="39"/>
  <c r="L221" i="39"/>
  <c r="L222" i="39"/>
  <c r="L223" i="39"/>
  <c r="L224" i="39"/>
  <c r="L225" i="39"/>
  <c r="L226" i="39"/>
  <c r="K9" i="39"/>
  <c r="K10" i="39"/>
  <c r="K11" i="39"/>
  <c r="K12" i="39"/>
  <c r="K13" i="39"/>
  <c r="K14" i="39"/>
  <c r="K15" i="39"/>
  <c r="K16" i="39"/>
  <c r="K17" i="39"/>
  <c r="K18" i="39"/>
  <c r="K19" i="39"/>
  <c r="K20" i="39"/>
  <c r="K21" i="39"/>
  <c r="K22" i="39"/>
  <c r="K23" i="39"/>
  <c r="K24" i="39"/>
  <c r="K25" i="39"/>
  <c r="K26" i="39"/>
  <c r="K27" i="39"/>
  <c r="K28" i="39"/>
  <c r="K29" i="39"/>
  <c r="K30" i="39"/>
  <c r="K31" i="39"/>
  <c r="K32" i="39"/>
  <c r="K33" i="39"/>
  <c r="K34" i="39"/>
  <c r="K35" i="39"/>
  <c r="K36" i="39"/>
  <c r="K37" i="39"/>
  <c r="K38" i="39"/>
  <c r="K39" i="39"/>
  <c r="K40" i="39"/>
  <c r="K41" i="39"/>
  <c r="K42" i="39"/>
  <c r="K43" i="39"/>
  <c r="K44" i="39"/>
  <c r="K45" i="39"/>
  <c r="K46" i="39"/>
  <c r="K47" i="39"/>
  <c r="K48" i="39"/>
  <c r="K49" i="39"/>
  <c r="K50" i="39"/>
  <c r="K51" i="39"/>
  <c r="K52" i="39"/>
  <c r="K53" i="39"/>
  <c r="K54" i="39"/>
  <c r="K55" i="39"/>
  <c r="K56" i="39"/>
  <c r="K57" i="39"/>
  <c r="K58" i="39"/>
  <c r="K59" i="39"/>
  <c r="K60" i="39"/>
  <c r="K61" i="39"/>
  <c r="K62" i="39"/>
  <c r="K63" i="39"/>
  <c r="K64" i="39"/>
  <c r="K65" i="39"/>
  <c r="K66" i="39"/>
  <c r="K67" i="39"/>
  <c r="K68" i="39"/>
  <c r="K69" i="39"/>
  <c r="K70" i="39"/>
  <c r="K71" i="39"/>
  <c r="K72" i="39"/>
  <c r="K73" i="39"/>
  <c r="K74" i="39"/>
  <c r="K75" i="39"/>
  <c r="K76" i="39"/>
  <c r="K77" i="39"/>
  <c r="K78" i="39"/>
  <c r="K79" i="39"/>
  <c r="K80" i="39"/>
  <c r="K81" i="39"/>
  <c r="K82" i="39"/>
  <c r="K83" i="39"/>
  <c r="K84" i="39"/>
  <c r="K85" i="39"/>
  <c r="K86" i="39"/>
  <c r="K87" i="39"/>
  <c r="K88" i="39"/>
  <c r="K89" i="39"/>
  <c r="K90" i="39"/>
  <c r="K91" i="39"/>
  <c r="K92" i="39"/>
  <c r="K93" i="39"/>
  <c r="K94" i="39"/>
  <c r="K95" i="39"/>
  <c r="K96" i="39"/>
  <c r="K97" i="39"/>
  <c r="K98" i="39"/>
  <c r="K99" i="39"/>
  <c r="K100" i="39"/>
  <c r="K101" i="39"/>
  <c r="K102" i="39"/>
  <c r="K103" i="39"/>
  <c r="K104" i="39"/>
  <c r="K105" i="39"/>
  <c r="K106" i="39"/>
  <c r="K107" i="39"/>
  <c r="K108" i="39"/>
  <c r="K109" i="39"/>
  <c r="K110" i="39"/>
  <c r="K111" i="39"/>
  <c r="K112" i="39"/>
  <c r="K113" i="39"/>
  <c r="K114" i="39"/>
  <c r="K115" i="39"/>
  <c r="K116" i="39"/>
  <c r="K117" i="39"/>
  <c r="K118" i="39"/>
  <c r="K119" i="39"/>
  <c r="K120" i="39"/>
  <c r="K121" i="39"/>
  <c r="K122" i="39"/>
  <c r="K123" i="39"/>
  <c r="K124" i="39"/>
  <c r="K125" i="39"/>
  <c r="K126" i="39"/>
  <c r="K127" i="39"/>
  <c r="K128" i="39"/>
  <c r="K129" i="39"/>
  <c r="K130" i="39"/>
  <c r="K131" i="39"/>
  <c r="K132" i="39"/>
  <c r="K133" i="39"/>
  <c r="K134" i="39"/>
  <c r="K135" i="39"/>
  <c r="K136" i="39"/>
  <c r="K137" i="39"/>
  <c r="K138" i="39"/>
  <c r="K139" i="39"/>
  <c r="K140" i="39"/>
  <c r="K141" i="39"/>
  <c r="K142" i="39"/>
  <c r="K143" i="39"/>
  <c r="K144" i="39"/>
  <c r="K145" i="39"/>
  <c r="K146" i="39"/>
  <c r="K147" i="39"/>
  <c r="K148" i="39"/>
  <c r="K149" i="39"/>
  <c r="K150" i="39"/>
  <c r="K151" i="39"/>
  <c r="K152" i="39"/>
  <c r="K153" i="39"/>
  <c r="K154" i="39"/>
  <c r="K155" i="39"/>
  <c r="K156" i="39"/>
  <c r="K157" i="39"/>
  <c r="K158" i="39"/>
  <c r="K159" i="39"/>
  <c r="K160" i="39"/>
  <c r="K161" i="39"/>
  <c r="K162" i="39"/>
  <c r="K163" i="39"/>
  <c r="K164" i="39"/>
  <c r="K165" i="39"/>
  <c r="K166" i="39"/>
  <c r="K167" i="39"/>
  <c r="K168" i="39"/>
  <c r="K169" i="39"/>
  <c r="K170" i="39"/>
  <c r="K171" i="39"/>
  <c r="K172" i="39"/>
  <c r="K173" i="39"/>
  <c r="K174" i="39"/>
  <c r="K175" i="39"/>
  <c r="K176" i="39"/>
  <c r="K177" i="39"/>
  <c r="K178" i="39"/>
  <c r="K179" i="39"/>
  <c r="K180" i="39"/>
  <c r="K181" i="39"/>
  <c r="K182" i="39"/>
  <c r="K183" i="39"/>
  <c r="K184" i="39"/>
  <c r="K185" i="39"/>
  <c r="K186" i="39"/>
  <c r="K187" i="39"/>
  <c r="K188" i="39"/>
  <c r="K189" i="39"/>
  <c r="K190" i="39"/>
  <c r="K191" i="39"/>
  <c r="K192" i="39"/>
  <c r="K193" i="39"/>
  <c r="K194" i="39"/>
  <c r="K195" i="39"/>
  <c r="K196" i="39"/>
  <c r="K197" i="39"/>
  <c r="K198" i="39"/>
  <c r="K199" i="39"/>
  <c r="K200" i="39"/>
  <c r="K201" i="39"/>
  <c r="K202" i="39"/>
  <c r="K203" i="39"/>
  <c r="K204" i="39"/>
  <c r="K205" i="39"/>
  <c r="K206" i="39"/>
  <c r="K207" i="39"/>
  <c r="K208" i="39"/>
  <c r="K209" i="39"/>
  <c r="K210" i="39"/>
  <c r="K211" i="39"/>
  <c r="K212" i="39"/>
  <c r="K213" i="39"/>
  <c r="K214" i="39"/>
  <c r="K215" i="39"/>
  <c r="K216" i="39"/>
  <c r="K217" i="39"/>
  <c r="K218" i="39"/>
  <c r="K219" i="39"/>
  <c r="K220" i="39"/>
  <c r="K221" i="39"/>
  <c r="K222" i="39"/>
  <c r="K223" i="39"/>
  <c r="K224" i="39"/>
  <c r="K225" i="39"/>
  <c r="K226" i="39"/>
  <c r="K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22" i="39"/>
  <c r="J23" i="39"/>
  <c r="J24" i="39"/>
  <c r="J25" i="39"/>
  <c r="J26" i="39"/>
  <c r="J27" i="39"/>
  <c r="J28" i="39"/>
  <c r="J29" i="39"/>
  <c r="J30" i="39"/>
  <c r="J31" i="39"/>
  <c r="J32" i="39"/>
  <c r="J33" i="39"/>
  <c r="J34" i="39"/>
  <c r="J35" i="39"/>
  <c r="J36" i="39"/>
  <c r="J37" i="39"/>
  <c r="J38" i="39"/>
  <c r="J39" i="39"/>
  <c r="J40" i="39"/>
  <c r="J41" i="39"/>
  <c r="J42" i="39"/>
  <c r="J43" i="39"/>
  <c r="J44" i="39"/>
  <c r="J45" i="39"/>
  <c r="J46" i="39"/>
  <c r="J47" i="39"/>
  <c r="J48" i="39"/>
  <c r="J49" i="39"/>
  <c r="J50" i="39"/>
  <c r="J51" i="39"/>
  <c r="J52" i="39"/>
  <c r="J53" i="39"/>
  <c r="J54" i="39"/>
  <c r="J55" i="39"/>
  <c r="J56" i="39"/>
  <c r="J57" i="39"/>
  <c r="J58" i="39"/>
  <c r="J59" i="39"/>
  <c r="J60" i="39"/>
  <c r="J61" i="39"/>
  <c r="J62" i="39"/>
  <c r="J63" i="39"/>
  <c r="J64" i="39"/>
  <c r="J65" i="39"/>
  <c r="J66" i="39"/>
  <c r="J67" i="39"/>
  <c r="J68" i="39"/>
  <c r="J69" i="39"/>
  <c r="J70" i="39"/>
  <c r="J71" i="39"/>
  <c r="J72" i="39"/>
  <c r="J73" i="39"/>
  <c r="J74" i="39"/>
  <c r="J75" i="39"/>
  <c r="J76" i="39"/>
  <c r="J77" i="39"/>
  <c r="J78" i="39"/>
  <c r="J79" i="39"/>
  <c r="J80" i="39"/>
  <c r="J81" i="39"/>
  <c r="J82" i="39"/>
  <c r="J83" i="39"/>
  <c r="J84" i="39"/>
  <c r="J85" i="39"/>
  <c r="J86" i="39"/>
  <c r="J87" i="39"/>
  <c r="J88" i="39"/>
  <c r="J89" i="39"/>
  <c r="J90" i="39"/>
  <c r="J91" i="39"/>
  <c r="J92" i="39"/>
  <c r="J93" i="39"/>
  <c r="J94" i="39"/>
  <c r="J95" i="39"/>
  <c r="J96" i="39"/>
  <c r="J97" i="39"/>
  <c r="J98" i="39"/>
  <c r="J99" i="39"/>
  <c r="J100" i="39"/>
  <c r="J101" i="39"/>
  <c r="J102" i="39"/>
  <c r="J103" i="39"/>
  <c r="J104" i="39"/>
  <c r="J105" i="39"/>
  <c r="J106" i="39"/>
  <c r="J107" i="39"/>
  <c r="J108" i="39"/>
  <c r="J109" i="39"/>
  <c r="J110" i="39"/>
  <c r="J111" i="39"/>
  <c r="J112" i="39"/>
  <c r="J113" i="39"/>
  <c r="J114" i="39"/>
  <c r="J115" i="39"/>
  <c r="J116" i="39"/>
  <c r="J117" i="39"/>
  <c r="J118" i="39"/>
  <c r="J119" i="39"/>
  <c r="J120" i="39"/>
  <c r="J121" i="39"/>
  <c r="J122" i="39"/>
  <c r="J123" i="39"/>
  <c r="J124" i="39"/>
  <c r="J125" i="39"/>
  <c r="J126" i="39"/>
  <c r="J127" i="39"/>
  <c r="J128" i="39"/>
  <c r="J129" i="39"/>
  <c r="J130" i="39"/>
  <c r="J131" i="39"/>
  <c r="J132" i="39"/>
  <c r="J133" i="39"/>
  <c r="J134" i="39"/>
  <c r="J135" i="39"/>
  <c r="J136" i="39"/>
  <c r="J137" i="39"/>
  <c r="J138" i="39"/>
  <c r="J139" i="39"/>
  <c r="J140" i="39"/>
  <c r="J141" i="39"/>
  <c r="J142" i="39"/>
  <c r="J143" i="39"/>
  <c r="J144" i="39"/>
  <c r="J145" i="39"/>
  <c r="J146" i="39"/>
  <c r="J147" i="39"/>
  <c r="J148" i="39"/>
  <c r="J149" i="39"/>
  <c r="J150" i="39"/>
  <c r="J151" i="39"/>
  <c r="J152" i="39"/>
  <c r="J153" i="39"/>
  <c r="J154" i="39"/>
  <c r="J155" i="39"/>
  <c r="J156" i="39"/>
  <c r="J157" i="39"/>
  <c r="J158" i="39"/>
  <c r="J159" i="39"/>
  <c r="J160" i="39"/>
  <c r="J161" i="39"/>
  <c r="J162" i="39"/>
  <c r="J163" i="39"/>
  <c r="J164" i="39"/>
  <c r="J165" i="39"/>
  <c r="J166" i="39"/>
  <c r="J167" i="39"/>
  <c r="J168" i="39"/>
  <c r="J169" i="39"/>
  <c r="J170" i="39"/>
  <c r="J171" i="39"/>
  <c r="J172" i="39"/>
  <c r="J173" i="39"/>
  <c r="J174" i="39"/>
  <c r="J175" i="39"/>
  <c r="J176" i="39"/>
  <c r="J177" i="39"/>
  <c r="J178" i="39"/>
  <c r="J179" i="39"/>
  <c r="J180" i="39"/>
  <c r="J181" i="39"/>
  <c r="J182" i="39"/>
  <c r="J183" i="39"/>
  <c r="J184" i="39"/>
  <c r="J185" i="39"/>
  <c r="J186" i="39"/>
  <c r="J187" i="39"/>
  <c r="J188" i="39"/>
  <c r="J189" i="39"/>
  <c r="J190" i="39"/>
  <c r="J191" i="39"/>
  <c r="J192" i="39"/>
  <c r="J193" i="39"/>
  <c r="J194" i="39"/>
  <c r="J195" i="39"/>
  <c r="J196" i="39"/>
  <c r="J197" i="39"/>
  <c r="J198" i="39"/>
  <c r="J199" i="39"/>
  <c r="J200" i="39"/>
  <c r="J201" i="39"/>
  <c r="J202" i="39"/>
  <c r="J203" i="39"/>
  <c r="J204" i="39"/>
  <c r="J205" i="39"/>
  <c r="J206" i="39"/>
  <c r="J207" i="39"/>
  <c r="J208" i="39"/>
  <c r="J209" i="39"/>
  <c r="J210" i="39"/>
  <c r="J211" i="39"/>
  <c r="J212" i="39"/>
  <c r="J213" i="39"/>
  <c r="J214" i="39"/>
  <c r="J215" i="39"/>
  <c r="J216" i="39"/>
  <c r="J217" i="39"/>
  <c r="J218" i="39"/>
  <c r="J219" i="39"/>
  <c r="J220" i="39"/>
  <c r="J221" i="39"/>
  <c r="J222" i="39"/>
  <c r="J223" i="39"/>
  <c r="J224" i="39"/>
  <c r="J225" i="39"/>
  <c r="J226" i="39"/>
  <c r="J8" i="39"/>
  <c r="I8" i="39"/>
  <c r="I9" i="39"/>
  <c r="I10" i="39"/>
  <c r="I11" i="39"/>
  <c r="I12" i="39"/>
  <c r="I13" i="39"/>
  <c r="I14" i="39"/>
  <c r="I15" i="39"/>
  <c r="I16" i="39"/>
  <c r="I17" i="39"/>
  <c r="I18" i="39"/>
  <c r="I19" i="39"/>
  <c r="I20" i="39"/>
  <c r="I21" i="39"/>
  <c r="I22" i="39"/>
  <c r="I23" i="39"/>
  <c r="I24" i="39"/>
  <c r="I25" i="39"/>
  <c r="I26" i="39"/>
  <c r="I27" i="39"/>
  <c r="I28" i="39"/>
  <c r="I29" i="39"/>
  <c r="I30" i="39"/>
  <c r="I31" i="39"/>
  <c r="I32" i="39"/>
  <c r="I33" i="39"/>
  <c r="I34" i="39"/>
  <c r="I35" i="39"/>
  <c r="I36" i="39"/>
  <c r="I37" i="39"/>
  <c r="I38" i="39"/>
  <c r="I39" i="39"/>
  <c r="I40" i="39"/>
  <c r="I41" i="39"/>
  <c r="I42" i="39"/>
  <c r="I43" i="39"/>
  <c r="I44" i="39"/>
  <c r="I45" i="39"/>
  <c r="I46" i="39"/>
  <c r="I47" i="39"/>
  <c r="I48" i="39"/>
  <c r="I49" i="39"/>
  <c r="I50" i="39"/>
  <c r="I51" i="39"/>
  <c r="I52" i="39"/>
  <c r="I53" i="39"/>
  <c r="I54" i="39"/>
  <c r="I55" i="39"/>
  <c r="I56" i="39"/>
  <c r="I57" i="39"/>
  <c r="I58" i="39"/>
  <c r="I59" i="39"/>
  <c r="I60" i="39"/>
  <c r="I61" i="39"/>
  <c r="I62" i="39"/>
  <c r="I63" i="39"/>
  <c r="I64" i="39"/>
  <c r="I65" i="39"/>
  <c r="I66" i="39"/>
  <c r="I67" i="39"/>
  <c r="I68" i="39"/>
  <c r="I69" i="39"/>
  <c r="I70" i="39"/>
  <c r="I71" i="39"/>
  <c r="I72" i="39"/>
  <c r="I73" i="39"/>
  <c r="I74" i="39"/>
  <c r="I75" i="39"/>
  <c r="I76" i="39"/>
  <c r="I77" i="39"/>
  <c r="I78" i="39"/>
  <c r="I79" i="39"/>
  <c r="I80" i="39"/>
  <c r="I81" i="39"/>
  <c r="I82" i="39"/>
  <c r="I83" i="39"/>
  <c r="I84" i="39"/>
  <c r="I85" i="39"/>
  <c r="I86" i="39"/>
  <c r="I87" i="39"/>
  <c r="I88" i="39"/>
  <c r="I89" i="39"/>
  <c r="I90" i="39"/>
  <c r="I91" i="39"/>
  <c r="I92" i="39"/>
  <c r="I93" i="39"/>
  <c r="I94" i="39"/>
  <c r="I95" i="39"/>
  <c r="I96" i="39"/>
  <c r="I97" i="39"/>
  <c r="I98" i="39"/>
  <c r="I99" i="39"/>
  <c r="I100" i="39"/>
  <c r="I101" i="39"/>
  <c r="I102" i="39"/>
  <c r="I103" i="39"/>
  <c r="I104" i="39"/>
  <c r="I105" i="39"/>
  <c r="I106" i="39"/>
  <c r="I107" i="39"/>
  <c r="I108" i="39"/>
  <c r="I109" i="39"/>
  <c r="I110" i="39"/>
  <c r="I111" i="39"/>
  <c r="I112" i="39"/>
  <c r="I113" i="39"/>
  <c r="I114" i="39"/>
  <c r="I115" i="39"/>
  <c r="I116" i="39"/>
  <c r="I117" i="39"/>
  <c r="I118" i="39"/>
  <c r="I119" i="39"/>
  <c r="I120" i="39"/>
  <c r="I121" i="39"/>
  <c r="I122" i="39"/>
  <c r="I123" i="39"/>
  <c r="I124" i="39"/>
  <c r="I125" i="39"/>
  <c r="I126" i="39"/>
  <c r="I127" i="39"/>
  <c r="I128" i="39"/>
  <c r="I129" i="39"/>
  <c r="I130" i="39"/>
  <c r="I131" i="39"/>
  <c r="I132" i="39"/>
  <c r="I133" i="39"/>
  <c r="I134" i="39"/>
  <c r="I135" i="39"/>
  <c r="I136" i="39"/>
  <c r="I137" i="39"/>
  <c r="I138" i="39"/>
  <c r="I139" i="39"/>
  <c r="I140" i="39"/>
  <c r="I141" i="39"/>
  <c r="I142" i="39"/>
  <c r="I143" i="39"/>
  <c r="I144" i="39"/>
  <c r="I145" i="39"/>
  <c r="I146" i="39"/>
  <c r="I147" i="39"/>
  <c r="I148" i="39"/>
  <c r="I149" i="39"/>
  <c r="I150" i="39"/>
  <c r="I151" i="39"/>
  <c r="I152" i="39"/>
  <c r="I153" i="39"/>
  <c r="I154" i="39"/>
  <c r="I155" i="39"/>
  <c r="I156" i="39"/>
  <c r="I157" i="39"/>
  <c r="I158" i="39"/>
  <c r="I159" i="39"/>
  <c r="I160" i="39"/>
  <c r="I161" i="39"/>
  <c r="I162" i="39"/>
  <c r="I163" i="39"/>
  <c r="I164" i="39"/>
  <c r="I165" i="39"/>
  <c r="I166" i="39"/>
  <c r="I167" i="39"/>
  <c r="I168" i="39"/>
  <c r="I169" i="39"/>
  <c r="I170" i="39"/>
  <c r="I171" i="39"/>
  <c r="I172" i="39"/>
  <c r="I173" i="39"/>
  <c r="I174" i="39"/>
  <c r="I175" i="39"/>
  <c r="I176" i="39"/>
  <c r="I177" i="39"/>
  <c r="I178" i="39"/>
  <c r="I179" i="39"/>
  <c r="I180" i="39"/>
  <c r="I181" i="39"/>
  <c r="I182" i="39"/>
  <c r="I183" i="39"/>
  <c r="I184" i="39"/>
  <c r="I185" i="39"/>
  <c r="I186" i="39"/>
  <c r="I187" i="39"/>
  <c r="I188" i="39"/>
  <c r="I189" i="39"/>
  <c r="I190" i="39"/>
  <c r="I191" i="39"/>
  <c r="I192" i="39"/>
  <c r="I193" i="39"/>
  <c r="I194" i="39"/>
  <c r="I195" i="39"/>
  <c r="I196" i="39"/>
  <c r="I197" i="39"/>
  <c r="I198" i="39"/>
  <c r="I199" i="39"/>
  <c r="I200" i="39"/>
  <c r="I201" i="39"/>
  <c r="I202" i="39"/>
  <c r="I203" i="39"/>
  <c r="I204" i="39"/>
  <c r="I205" i="39"/>
  <c r="I206" i="39"/>
  <c r="I207" i="39"/>
  <c r="I208" i="39"/>
  <c r="I209" i="39"/>
  <c r="I210" i="39"/>
  <c r="I211" i="39"/>
  <c r="I212" i="39"/>
  <c r="I213" i="39"/>
  <c r="I214" i="39"/>
  <c r="I215" i="39"/>
  <c r="I216" i="39"/>
  <c r="I217" i="39"/>
  <c r="I218" i="39"/>
  <c r="I219" i="39"/>
  <c r="I220" i="39"/>
  <c r="I221" i="39"/>
  <c r="I222" i="39"/>
  <c r="I223" i="39"/>
  <c r="I224" i="39"/>
  <c r="I225" i="39"/>
  <c r="I226" i="39"/>
  <c r="H8" i="39"/>
  <c r="H9" i="39"/>
  <c r="H10" i="39"/>
  <c r="H11" i="39"/>
  <c r="H12" i="39"/>
  <c r="H13" i="39"/>
  <c r="H14" i="39"/>
  <c r="H15" i="39"/>
  <c r="H16" i="39"/>
  <c r="H17" i="39"/>
  <c r="H18" i="39"/>
  <c r="H19" i="39"/>
  <c r="H20" i="39"/>
  <c r="H21" i="39"/>
  <c r="H22" i="39"/>
  <c r="H23" i="39"/>
  <c r="H24" i="39"/>
  <c r="H25" i="39"/>
  <c r="H26" i="39"/>
  <c r="H27" i="39"/>
  <c r="H28" i="39"/>
  <c r="H29" i="39"/>
  <c r="H30" i="39"/>
  <c r="H31" i="39"/>
  <c r="H32" i="39"/>
  <c r="H33" i="39"/>
  <c r="H34" i="39"/>
  <c r="H35" i="39"/>
  <c r="H36" i="39"/>
  <c r="H37" i="39"/>
  <c r="H38" i="39"/>
  <c r="H39" i="39"/>
  <c r="H40" i="39"/>
  <c r="H41" i="39"/>
  <c r="H42" i="39"/>
  <c r="H43" i="39"/>
  <c r="H44" i="39"/>
  <c r="H45" i="39"/>
  <c r="H46" i="39"/>
  <c r="H47" i="39"/>
  <c r="H48" i="39"/>
  <c r="H49" i="39"/>
  <c r="H50" i="39"/>
  <c r="H51" i="39"/>
  <c r="H52" i="39"/>
  <c r="H53" i="39"/>
  <c r="H54" i="39"/>
  <c r="H55" i="39"/>
  <c r="H56" i="39"/>
  <c r="H57" i="39"/>
  <c r="H58" i="39"/>
  <c r="H59" i="39"/>
  <c r="H60" i="39"/>
  <c r="H61" i="39"/>
  <c r="H62" i="39"/>
  <c r="H63" i="39"/>
  <c r="H64" i="39"/>
  <c r="H65" i="39"/>
  <c r="H66" i="39"/>
  <c r="H67" i="39"/>
  <c r="H68" i="39"/>
  <c r="H69" i="39"/>
  <c r="H70" i="39"/>
  <c r="H71" i="39"/>
  <c r="H72" i="39"/>
  <c r="H73" i="39"/>
  <c r="H74" i="39"/>
  <c r="H75" i="39"/>
  <c r="H76" i="39"/>
  <c r="H77" i="39"/>
  <c r="H78" i="39"/>
  <c r="H79" i="39"/>
  <c r="H80" i="39"/>
  <c r="H81" i="39"/>
  <c r="H82" i="39"/>
  <c r="H83" i="39"/>
  <c r="H84" i="39"/>
  <c r="H85" i="39"/>
  <c r="H86" i="39"/>
  <c r="H87" i="39"/>
  <c r="H88" i="39"/>
  <c r="H89" i="39"/>
  <c r="H90" i="39"/>
  <c r="H91" i="39"/>
  <c r="H92" i="39"/>
  <c r="H93" i="39"/>
  <c r="H94" i="39"/>
  <c r="H95" i="39"/>
  <c r="H96" i="39"/>
  <c r="H97" i="39"/>
  <c r="H98" i="39"/>
  <c r="H99" i="39"/>
  <c r="H100" i="39"/>
  <c r="H101" i="39"/>
  <c r="H102" i="39"/>
  <c r="H103" i="39"/>
  <c r="H104" i="39"/>
  <c r="H105" i="39"/>
  <c r="H106" i="39"/>
  <c r="H107" i="39"/>
  <c r="H108" i="39"/>
  <c r="H109" i="39"/>
  <c r="H110" i="39"/>
  <c r="H111" i="39"/>
  <c r="H112" i="39"/>
  <c r="H113" i="39"/>
  <c r="H114" i="39"/>
  <c r="H115" i="39"/>
  <c r="H116" i="39"/>
  <c r="H117" i="39"/>
  <c r="H118" i="39"/>
  <c r="H119" i="39"/>
  <c r="H120" i="39"/>
  <c r="H121" i="39"/>
  <c r="H122" i="39"/>
  <c r="H123" i="39"/>
  <c r="H124" i="39"/>
  <c r="H125" i="39"/>
  <c r="H126" i="39"/>
  <c r="H127" i="39"/>
  <c r="H128" i="39"/>
  <c r="H129" i="39"/>
  <c r="H130" i="39"/>
  <c r="H131" i="39"/>
  <c r="H132" i="39"/>
  <c r="H133" i="39"/>
  <c r="H134" i="39"/>
  <c r="H135" i="39"/>
  <c r="H136" i="39"/>
  <c r="H137" i="39"/>
  <c r="H138" i="39"/>
  <c r="H139" i="39"/>
  <c r="H140" i="39"/>
  <c r="H141" i="39"/>
  <c r="H142" i="39"/>
  <c r="H143" i="39"/>
  <c r="H144" i="39"/>
  <c r="H145" i="39"/>
  <c r="H146" i="39"/>
  <c r="H147" i="39"/>
  <c r="H148" i="39"/>
  <c r="H149" i="39"/>
  <c r="H150" i="39"/>
  <c r="H151" i="39"/>
  <c r="H152" i="39"/>
  <c r="H153" i="39"/>
  <c r="H154" i="39"/>
  <c r="H155" i="39"/>
  <c r="H156" i="39"/>
  <c r="H157" i="39"/>
  <c r="H158" i="39"/>
  <c r="H159" i="39"/>
  <c r="H160" i="39"/>
  <c r="H161" i="39"/>
  <c r="H162" i="39"/>
  <c r="H163" i="39"/>
  <c r="H164" i="39"/>
  <c r="H165" i="39"/>
  <c r="H166" i="39"/>
  <c r="H167" i="39"/>
  <c r="H168" i="39"/>
  <c r="H169" i="39"/>
  <c r="H170" i="39"/>
  <c r="H171" i="39"/>
  <c r="H172" i="39"/>
  <c r="H173" i="39"/>
  <c r="H174" i="39"/>
  <c r="H175" i="39"/>
  <c r="H176" i="39"/>
  <c r="H177" i="39"/>
  <c r="H178" i="39"/>
  <c r="H179" i="39"/>
  <c r="H180" i="39"/>
  <c r="H181" i="39"/>
  <c r="H182" i="39"/>
  <c r="H183" i="39"/>
  <c r="H184" i="39"/>
  <c r="H185" i="39"/>
  <c r="H186" i="39"/>
  <c r="H187" i="39"/>
  <c r="H188" i="39"/>
  <c r="H189" i="39"/>
  <c r="H190" i="39"/>
  <c r="H191" i="39"/>
  <c r="H192" i="39"/>
  <c r="H193" i="39"/>
  <c r="H194" i="39"/>
  <c r="H195" i="39"/>
  <c r="H196" i="39"/>
  <c r="H197" i="39"/>
  <c r="H198" i="39"/>
  <c r="H199" i="39"/>
  <c r="H200" i="39"/>
  <c r="H201" i="39"/>
  <c r="H202" i="39"/>
  <c r="H203" i="39"/>
  <c r="H204" i="39"/>
  <c r="H205" i="39"/>
  <c r="H206" i="39"/>
  <c r="H207" i="39"/>
  <c r="H208" i="39"/>
  <c r="H209" i="39"/>
  <c r="H210" i="39"/>
  <c r="H211" i="39"/>
  <c r="H212" i="39"/>
  <c r="H213" i="39"/>
  <c r="H214" i="39"/>
  <c r="H215" i="39"/>
  <c r="H216" i="39"/>
  <c r="H217" i="39"/>
  <c r="H218" i="39"/>
  <c r="H219" i="39"/>
  <c r="H220" i="39"/>
  <c r="H221" i="39"/>
  <c r="H222" i="39"/>
  <c r="H223" i="39"/>
  <c r="H224" i="39"/>
  <c r="H225" i="39"/>
  <c r="H226" i="39"/>
  <c r="G8" i="39"/>
  <c r="G9" i="39"/>
  <c r="G10" i="39"/>
  <c r="G11" i="39"/>
  <c r="G12" i="39"/>
  <c r="G13" i="39"/>
  <c r="G14" i="39"/>
  <c r="G15" i="39"/>
  <c r="G16" i="39"/>
  <c r="G17" i="39"/>
  <c r="G18" i="39"/>
  <c r="G19" i="39"/>
  <c r="G20" i="39"/>
  <c r="G21" i="39"/>
  <c r="G22" i="39"/>
  <c r="G23" i="39"/>
  <c r="G24" i="39"/>
  <c r="G25" i="39"/>
  <c r="G26" i="39"/>
  <c r="G27" i="39"/>
  <c r="G28" i="39"/>
  <c r="G29" i="39"/>
  <c r="G30" i="39"/>
  <c r="G31" i="39"/>
  <c r="G32" i="39"/>
  <c r="G33" i="39"/>
  <c r="G34" i="39"/>
  <c r="G35" i="39"/>
  <c r="G36" i="39"/>
  <c r="G37" i="39"/>
  <c r="G38" i="39"/>
  <c r="G39" i="39"/>
  <c r="G40" i="39"/>
  <c r="G41" i="39"/>
  <c r="G42" i="39"/>
  <c r="G43" i="39"/>
  <c r="G44" i="39"/>
  <c r="G45" i="39"/>
  <c r="G46" i="39"/>
  <c r="G47" i="39"/>
  <c r="G48" i="39"/>
  <c r="G49" i="39"/>
  <c r="G50" i="39"/>
  <c r="G51" i="39"/>
  <c r="G52" i="39"/>
  <c r="G53" i="39"/>
  <c r="G54" i="39"/>
  <c r="G55" i="39"/>
  <c r="G56" i="39"/>
  <c r="G57" i="39"/>
  <c r="G58" i="39"/>
  <c r="G59" i="39"/>
  <c r="G60" i="39"/>
  <c r="G61" i="39"/>
  <c r="G62" i="39"/>
  <c r="G63" i="39"/>
  <c r="G64" i="39"/>
  <c r="G65" i="39"/>
  <c r="G66" i="39"/>
  <c r="G67" i="39"/>
  <c r="G68" i="39"/>
  <c r="G69" i="39"/>
  <c r="G70" i="39"/>
  <c r="G71" i="39"/>
  <c r="G72" i="39"/>
  <c r="G73" i="39"/>
  <c r="G74" i="39"/>
  <c r="G75" i="39"/>
  <c r="G76" i="39"/>
  <c r="G77" i="39"/>
  <c r="G78" i="39"/>
  <c r="G79" i="39"/>
  <c r="G80" i="39"/>
  <c r="G81" i="39"/>
  <c r="G82" i="39"/>
  <c r="G83" i="39"/>
  <c r="G84" i="39"/>
  <c r="G85" i="39"/>
  <c r="G86" i="39"/>
  <c r="G87" i="39"/>
  <c r="G88" i="39"/>
  <c r="G89" i="39"/>
  <c r="G90" i="39"/>
  <c r="G91" i="39"/>
  <c r="G92" i="39"/>
  <c r="G93" i="39"/>
  <c r="G94" i="39"/>
  <c r="G95" i="39"/>
  <c r="G96" i="39"/>
  <c r="G97" i="39"/>
  <c r="G98" i="39"/>
  <c r="G99" i="39"/>
  <c r="G100" i="39"/>
  <c r="G101" i="39"/>
  <c r="G102" i="39"/>
  <c r="G103" i="39"/>
  <c r="G104" i="39"/>
  <c r="G105" i="39"/>
  <c r="G106" i="39"/>
  <c r="G107" i="39"/>
  <c r="G108" i="39"/>
  <c r="G109" i="39"/>
  <c r="G110" i="39"/>
  <c r="G111" i="39"/>
  <c r="G112" i="39"/>
  <c r="G113" i="39"/>
  <c r="G114" i="39"/>
  <c r="G115" i="39"/>
  <c r="G116" i="39"/>
  <c r="G117" i="39"/>
  <c r="G118" i="39"/>
  <c r="G119" i="39"/>
  <c r="G120" i="39"/>
  <c r="G121" i="39"/>
  <c r="G122" i="39"/>
  <c r="G123" i="39"/>
  <c r="G124" i="39"/>
  <c r="G125" i="39"/>
  <c r="G126" i="39"/>
  <c r="G127" i="39"/>
  <c r="G128" i="39"/>
  <c r="G129" i="39"/>
  <c r="G130" i="39"/>
  <c r="G131" i="39"/>
  <c r="G132" i="39"/>
  <c r="G133" i="39"/>
  <c r="G134" i="39"/>
  <c r="G135" i="39"/>
  <c r="G136" i="39"/>
  <c r="G137" i="39"/>
  <c r="G138" i="39"/>
  <c r="G139" i="39"/>
  <c r="G140" i="39"/>
  <c r="G141" i="39"/>
  <c r="G142" i="39"/>
  <c r="G143" i="39"/>
  <c r="G144" i="39"/>
  <c r="G145" i="39"/>
  <c r="G146" i="39"/>
  <c r="G147" i="39"/>
  <c r="G148" i="39"/>
  <c r="G149" i="39"/>
  <c r="G150" i="39"/>
  <c r="G151" i="39"/>
  <c r="G152" i="39"/>
  <c r="G153" i="39"/>
  <c r="G154" i="39"/>
  <c r="G155" i="39"/>
  <c r="G156" i="39"/>
  <c r="G157" i="39"/>
  <c r="G158" i="39"/>
  <c r="G159" i="39"/>
  <c r="G160" i="39"/>
  <c r="G161" i="39"/>
  <c r="G162" i="39"/>
  <c r="G163" i="39"/>
  <c r="G164" i="39"/>
  <c r="G165" i="39"/>
  <c r="G166" i="39"/>
  <c r="G167" i="39"/>
  <c r="G168" i="39"/>
  <c r="G169" i="39"/>
  <c r="G170" i="39"/>
  <c r="G171" i="39"/>
  <c r="G172" i="39"/>
  <c r="G173" i="39"/>
  <c r="G174" i="39"/>
  <c r="G175" i="39"/>
  <c r="G176" i="39"/>
  <c r="G177" i="39"/>
  <c r="G178" i="39"/>
  <c r="G179" i="39"/>
  <c r="G180" i="39"/>
  <c r="G181" i="39"/>
  <c r="G182" i="39"/>
  <c r="G183" i="39"/>
  <c r="G184" i="39"/>
  <c r="G185" i="39"/>
  <c r="G186" i="39"/>
  <c r="G187" i="39"/>
  <c r="G188" i="39"/>
  <c r="G189" i="39"/>
  <c r="G190" i="39"/>
  <c r="G191" i="39"/>
  <c r="G192" i="39"/>
  <c r="G193" i="39"/>
  <c r="G194" i="39"/>
  <c r="G195" i="39"/>
  <c r="G196" i="39"/>
  <c r="G197" i="39"/>
  <c r="G198" i="39"/>
  <c r="G199" i="39"/>
  <c r="G200" i="39"/>
  <c r="G201" i="39"/>
  <c r="G202" i="39"/>
  <c r="G203" i="39"/>
  <c r="G204" i="39"/>
  <c r="G205" i="39"/>
  <c r="G206" i="39"/>
  <c r="G207" i="39"/>
  <c r="G208" i="39"/>
  <c r="G209" i="39"/>
  <c r="G210" i="39"/>
  <c r="G211" i="39"/>
  <c r="G212" i="39"/>
  <c r="G213" i="39"/>
  <c r="G214" i="39"/>
  <c r="G215" i="39"/>
  <c r="G216" i="39"/>
  <c r="G217" i="39"/>
  <c r="G218" i="39"/>
  <c r="G219" i="39"/>
  <c r="G220" i="39"/>
  <c r="G221" i="39"/>
  <c r="G222" i="39"/>
  <c r="G223" i="39"/>
  <c r="G224" i="39"/>
  <c r="G225" i="39"/>
  <c r="G226" i="39"/>
  <c r="F8" i="39"/>
  <c r="F9" i="39"/>
  <c r="F10" i="39"/>
  <c r="F11" i="39"/>
  <c r="F12" i="39"/>
  <c r="F13" i="39"/>
  <c r="F14" i="39"/>
  <c r="F15" i="39"/>
  <c r="F16" i="39"/>
  <c r="F17" i="39"/>
  <c r="F18" i="39"/>
  <c r="F19" i="39"/>
  <c r="F20" i="39"/>
  <c r="F21" i="39"/>
  <c r="F22" i="39"/>
  <c r="F23" i="39"/>
  <c r="F24" i="39"/>
  <c r="F25" i="39"/>
  <c r="F26" i="39"/>
  <c r="F27" i="39"/>
  <c r="F28" i="39"/>
  <c r="F29" i="39"/>
  <c r="F30" i="39"/>
  <c r="F31" i="39"/>
  <c r="F32" i="39"/>
  <c r="F33" i="39"/>
  <c r="F34" i="39"/>
  <c r="F35" i="39"/>
  <c r="F36" i="39"/>
  <c r="F37" i="39"/>
  <c r="F38" i="39"/>
  <c r="F39" i="39"/>
  <c r="F40" i="39"/>
  <c r="F41" i="39"/>
  <c r="F42" i="39"/>
  <c r="F43" i="39"/>
  <c r="F44" i="39"/>
  <c r="F45" i="39"/>
  <c r="F46" i="39"/>
  <c r="F47" i="39"/>
  <c r="F48" i="39"/>
  <c r="F49" i="39"/>
  <c r="F50" i="39"/>
  <c r="F51" i="39"/>
  <c r="F52" i="39"/>
  <c r="F53" i="39"/>
  <c r="F54" i="39"/>
  <c r="F55" i="39"/>
  <c r="F56" i="39"/>
  <c r="F57" i="39"/>
  <c r="F58" i="39"/>
  <c r="F59" i="39"/>
  <c r="F60" i="39"/>
  <c r="F61" i="39"/>
  <c r="F62" i="39"/>
  <c r="F63" i="39"/>
  <c r="F64" i="39"/>
  <c r="F65" i="39"/>
  <c r="F66" i="39"/>
  <c r="F67" i="39"/>
  <c r="F68" i="39"/>
  <c r="F69" i="39"/>
  <c r="F70" i="39"/>
  <c r="F71" i="39"/>
  <c r="F72" i="39"/>
  <c r="F73" i="39"/>
  <c r="F74" i="39"/>
  <c r="F75" i="39"/>
  <c r="F76" i="39"/>
  <c r="F77" i="39"/>
  <c r="F78" i="39"/>
  <c r="F79" i="39"/>
  <c r="F80" i="39"/>
  <c r="F81" i="39"/>
  <c r="F82" i="39"/>
  <c r="F83" i="39"/>
  <c r="F84" i="39"/>
  <c r="F85" i="39"/>
  <c r="F86" i="39"/>
  <c r="F87" i="39"/>
  <c r="F88" i="39"/>
  <c r="F89" i="39"/>
  <c r="F90" i="39"/>
  <c r="F91" i="39"/>
  <c r="F92" i="39"/>
  <c r="F93" i="39"/>
  <c r="F94" i="39"/>
  <c r="F95" i="39"/>
  <c r="F96" i="39"/>
  <c r="F97" i="39"/>
  <c r="F98" i="39"/>
  <c r="F99" i="39"/>
  <c r="F100" i="39"/>
  <c r="F101" i="39"/>
  <c r="F102" i="39"/>
  <c r="F103" i="39"/>
  <c r="F104" i="39"/>
  <c r="F105" i="39"/>
  <c r="F106" i="39"/>
  <c r="F107" i="39"/>
  <c r="F108" i="39"/>
  <c r="F109" i="39"/>
  <c r="F110" i="39"/>
  <c r="F111" i="39"/>
  <c r="F112" i="39"/>
  <c r="F113" i="39"/>
  <c r="F114" i="39"/>
  <c r="F115" i="39"/>
  <c r="F116" i="39"/>
  <c r="F117" i="39"/>
  <c r="F118" i="39"/>
  <c r="F119" i="39"/>
  <c r="F120" i="39"/>
  <c r="F121" i="39"/>
  <c r="F122" i="39"/>
  <c r="F123" i="39"/>
  <c r="F124" i="39"/>
  <c r="F125" i="39"/>
  <c r="F126" i="39"/>
  <c r="F127" i="39"/>
  <c r="F128" i="39"/>
  <c r="F129" i="39"/>
  <c r="F130" i="39"/>
  <c r="F131" i="39"/>
  <c r="F132" i="39"/>
  <c r="F133" i="39"/>
  <c r="F134" i="39"/>
  <c r="F135" i="39"/>
  <c r="F136" i="39"/>
  <c r="F137" i="39"/>
  <c r="F138" i="39"/>
  <c r="F139" i="39"/>
  <c r="F140" i="39"/>
  <c r="F141" i="39"/>
  <c r="F142" i="39"/>
  <c r="F143" i="39"/>
  <c r="F144" i="39"/>
  <c r="F145" i="39"/>
  <c r="F146" i="39"/>
  <c r="F147" i="39"/>
  <c r="F148" i="39"/>
  <c r="F149" i="39"/>
  <c r="F150" i="39"/>
  <c r="F151" i="39"/>
  <c r="F152" i="39"/>
  <c r="F153" i="39"/>
  <c r="F154" i="39"/>
  <c r="F155" i="39"/>
  <c r="F156" i="39"/>
  <c r="F157" i="39"/>
  <c r="F158" i="39"/>
  <c r="F159" i="39"/>
  <c r="F160" i="39"/>
  <c r="F161" i="39"/>
  <c r="F162" i="39"/>
  <c r="F163" i="39"/>
  <c r="F164" i="39"/>
  <c r="F165" i="39"/>
  <c r="F166" i="39"/>
  <c r="F167" i="39"/>
  <c r="F168" i="39"/>
  <c r="F169" i="39"/>
  <c r="F170" i="39"/>
  <c r="F171" i="39"/>
  <c r="F172" i="39"/>
  <c r="F173" i="39"/>
  <c r="F174" i="39"/>
  <c r="F175" i="39"/>
  <c r="F176" i="39"/>
  <c r="F177" i="39"/>
  <c r="F178" i="39"/>
  <c r="F179" i="39"/>
  <c r="F180" i="39"/>
  <c r="F181" i="39"/>
  <c r="F182" i="39"/>
  <c r="F183" i="39"/>
  <c r="F184" i="39"/>
  <c r="F185" i="39"/>
  <c r="F186" i="39"/>
  <c r="F187" i="39"/>
  <c r="F188" i="39"/>
  <c r="F189" i="39"/>
  <c r="F190" i="39"/>
  <c r="F191" i="39"/>
  <c r="F192" i="39"/>
  <c r="F193" i="39"/>
  <c r="F194" i="39"/>
  <c r="F195" i="39"/>
  <c r="F196" i="39"/>
  <c r="F197" i="39"/>
  <c r="F198" i="39"/>
  <c r="F199" i="39"/>
  <c r="F200" i="39"/>
  <c r="F201" i="39"/>
  <c r="F202" i="39"/>
  <c r="F203" i="39"/>
  <c r="F204" i="39"/>
  <c r="F205" i="39"/>
  <c r="F206" i="39"/>
  <c r="F207" i="39"/>
  <c r="F208" i="39"/>
  <c r="F209" i="39"/>
  <c r="F210" i="39"/>
  <c r="F211" i="39"/>
  <c r="F212" i="39"/>
  <c r="F213" i="39"/>
  <c r="F214" i="39"/>
  <c r="F215" i="39"/>
  <c r="F216" i="39"/>
  <c r="F217" i="39"/>
  <c r="F218" i="39"/>
  <c r="F219" i="39"/>
  <c r="F220" i="39"/>
  <c r="F221" i="39"/>
  <c r="F222" i="39"/>
  <c r="F223" i="39"/>
  <c r="F224" i="39"/>
  <c r="F225" i="39"/>
  <c r="F226" i="39"/>
  <c r="U7" i="39" l="1"/>
  <c r="B5" i="64"/>
  <c r="B24" i="60" l="1"/>
  <c r="B224" i="39" l="1"/>
  <c r="U224" i="39" l="1"/>
  <c r="U167" i="39"/>
  <c r="B167" i="39"/>
  <c r="U87" i="39" l="1"/>
  <c r="U204" i="39" l="1"/>
  <c r="U12" i="39" l="1"/>
  <c r="U13" i="39"/>
  <c r="U18" i="39"/>
  <c r="U20" i="39"/>
  <c r="U22" i="39"/>
  <c r="U25" i="39"/>
  <c r="U26" i="39"/>
  <c r="U28" i="39"/>
  <c r="U29" i="39"/>
  <c r="U30" i="39"/>
  <c r="U31" i="39"/>
  <c r="U32" i="39"/>
  <c r="U34" i="39"/>
  <c r="U37" i="39"/>
  <c r="U38" i="39"/>
  <c r="U40" i="39"/>
  <c r="U41" i="39"/>
  <c r="U43" i="39"/>
  <c r="U48" i="39"/>
  <c r="U49" i="39"/>
  <c r="U52" i="39"/>
  <c r="U53" i="39"/>
  <c r="U54" i="39"/>
  <c r="U55" i="39"/>
  <c r="U56" i="39"/>
  <c r="U58" i="39"/>
  <c r="U61" i="39"/>
  <c r="U63" i="39"/>
  <c r="U65" i="39"/>
  <c r="U66" i="39"/>
  <c r="U67" i="39"/>
  <c r="U68" i="39"/>
  <c r="U69" i="39"/>
  <c r="U70" i="39"/>
  <c r="U71" i="39"/>
  <c r="U72" i="39"/>
  <c r="U73" i="39"/>
  <c r="U75" i="39"/>
  <c r="U76" i="39"/>
  <c r="U77" i="39"/>
  <c r="U84" i="39"/>
  <c r="U85" i="39"/>
  <c r="U86" i="39"/>
  <c r="U89" i="39"/>
  <c r="U90" i="39"/>
  <c r="U91" i="39"/>
  <c r="U92" i="39"/>
  <c r="U93" i="39"/>
  <c r="U95" i="39"/>
  <c r="U96" i="39"/>
  <c r="U97" i="39"/>
  <c r="U98" i="39"/>
  <c r="U99" i="39"/>
  <c r="U101" i="39"/>
  <c r="U102" i="39"/>
  <c r="U103" i="39"/>
  <c r="U104" i="39"/>
  <c r="U105" i="39"/>
  <c r="U107" i="39"/>
  <c r="U110" i="39"/>
  <c r="U111" i="39"/>
  <c r="U112" i="39"/>
  <c r="U113" i="39"/>
  <c r="U115" i="39"/>
  <c r="U117" i="39"/>
  <c r="U120" i="39"/>
  <c r="U123" i="39"/>
  <c r="U124" i="39"/>
  <c r="U125" i="39"/>
  <c r="U126" i="39"/>
  <c r="U127" i="39"/>
  <c r="U128" i="39"/>
  <c r="U129" i="39"/>
  <c r="U131" i="39"/>
  <c r="U132" i="39"/>
  <c r="U133" i="39"/>
  <c r="U135" i="39"/>
  <c r="U136" i="39"/>
  <c r="U141" i="39"/>
  <c r="U148" i="39"/>
  <c r="U150" i="39"/>
  <c r="U153" i="39"/>
  <c r="U154" i="39"/>
  <c r="U156" i="39"/>
  <c r="U158" i="39"/>
  <c r="U159" i="39"/>
  <c r="U161" i="39"/>
  <c r="U171" i="39"/>
  <c r="U172" i="39"/>
  <c r="U179" i="39"/>
  <c r="U182" i="39"/>
  <c r="U183" i="39"/>
  <c r="U185" i="39"/>
  <c r="U186" i="39"/>
  <c r="U187" i="39"/>
  <c r="U188" i="39"/>
  <c r="U190" i="39"/>
  <c r="U191" i="39"/>
  <c r="U192" i="39"/>
  <c r="U195" i="39"/>
  <c r="U196" i="39"/>
  <c r="U197" i="39"/>
  <c r="U198" i="39"/>
  <c r="U199" i="39"/>
  <c r="U200" i="39"/>
  <c r="U201" i="39"/>
  <c r="U202" i="39"/>
  <c r="U203" i="39"/>
  <c r="U205" i="39"/>
  <c r="U207" i="39"/>
  <c r="U212" i="39"/>
  <c r="U213" i="39"/>
  <c r="U214" i="39"/>
  <c r="U219" i="39"/>
  <c r="U220" i="39"/>
  <c r="U222" i="39"/>
  <c r="U223" i="39"/>
  <c r="U226" i="39"/>
  <c r="U227" i="39"/>
  <c r="U64" i="39" l="1"/>
  <c r="U151" i="39"/>
  <c r="U157" i="39"/>
  <c r="U175" i="39" l="1"/>
  <c r="U23" i="39"/>
  <c r="U15" i="39"/>
  <c r="U14" i="39"/>
  <c r="U180" i="39"/>
  <c r="U206" i="39"/>
  <c r="U140" i="39"/>
  <c r="U100" i="39"/>
  <c r="U160" i="39"/>
  <c r="U184" i="39"/>
  <c r="U193" i="39"/>
  <c r="U8" i="39" l="1"/>
  <c r="U9" i="39"/>
  <c r="U10" i="39"/>
  <c r="U11" i="39"/>
  <c r="U16" i="39"/>
  <c r="U17" i="39"/>
  <c r="U19" i="39"/>
  <c r="U21" i="39"/>
  <c r="U24" i="39"/>
  <c r="U27" i="39"/>
  <c r="U33" i="39"/>
  <c r="U35" i="39"/>
  <c r="U36" i="39"/>
  <c r="U39" i="39"/>
  <c r="U42" i="39"/>
  <c r="U44" i="39"/>
  <c r="U45" i="39"/>
  <c r="U46" i="39"/>
  <c r="U47" i="39"/>
  <c r="U50" i="39"/>
  <c r="U51" i="39"/>
  <c r="U57" i="39"/>
  <c r="U59" i="39"/>
  <c r="U60" i="39"/>
  <c r="U62" i="39"/>
  <c r="U74" i="39"/>
  <c r="U78" i="39"/>
  <c r="U79" i="39"/>
  <c r="U80" i="39"/>
  <c r="U81" i="39"/>
  <c r="U82" i="39"/>
  <c r="U83" i="39"/>
  <c r="U88" i="39"/>
  <c r="U94" i="39"/>
  <c r="U106" i="39"/>
  <c r="U108" i="39"/>
  <c r="U109" i="39"/>
  <c r="U114" i="39"/>
  <c r="U116" i="39"/>
  <c r="U118" i="39"/>
  <c r="U119" i="39"/>
  <c r="U121" i="39"/>
  <c r="U122" i="39"/>
  <c r="U130" i="39"/>
  <c r="U134" i="39"/>
  <c r="U137" i="39"/>
  <c r="U138" i="39"/>
  <c r="U139" i="39"/>
  <c r="U142" i="39"/>
  <c r="U143" i="39"/>
  <c r="U144" i="39"/>
  <c r="U145" i="39"/>
  <c r="U146" i="39"/>
  <c r="U147" i="39"/>
  <c r="U149" i="39"/>
  <c r="U152" i="39"/>
  <c r="U155" i="39"/>
  <c r="U162" i="39"/>
  <c r="U163" i="39"/>
  <c r="U164" i="39"/>
  <c r="U165" i="39"/>
  <c r="U166" i="39"/>
  <c r="U168" i="39"/>
  <c r="U169" i="39"/>
  <c r="U170" i="39"/>
  <c r="U173" i="39"/>
  <c r="U174" i="39"/>
  <c r="U176" i="39"/>
  <c r="U177" i="39"/>
  <c r="U178" i="39"/>
  <c r="U181" i="39"/>
  <c r="U189" i="39"/>
  <c r="U194" i="39"/>
  <c r="U208" i="39"/>
  <c r="U209" i="39"/>
  <c r="U210" i="39"/>
  <c r="U211" i="39"/>
  <c r="U215" i="39"/>
  <c r="U216" i="39"/>
  <c r="U217" i="39"/>
  <c r="U218" i="39"/>
  <c r="U221" i="39"/>
  <c r="U225" i="39"/>
  <c r="C53" i="65" l="1"/>
  <c r="B53" i="65"/>
  <c r="B32" i="65"/>
  <c r="C74" i="65"/>
  <c r="M53" i="62"/>
  <c r="F53" i="62"/>
  <c r="M33" i="62"/>
  <c r="F33" i="62"/>
  <c r="L52" i="62"/>
  <c r="L51" i="62"/>
  <c r="L50" i="62"/>
  <c r="L49" i="62"/>
  <c r="L48" i="62"/>
  <c r="L47" i="62"/>
  <c r="L46" i="62"/>
  <c r="L45" i="62"/>
  <c r="L44" i="62"/>
  <c r="L43" i="62"/>
  <c r="E52" i="62"/>
  <c r="E51" i="62"/>
  <c r="E50" i="62"/>
  <c r="E49" i="62"/>
  <c r="E48" i="62"/>
  <c r="E47" i="62"/>
  <c r="E46" i="62"/>
  <c r="E45" i="62"/>
  <c r="E44" i="62"/>
  <c r="E43" i="62"/>
  <c r="L32" i="62"/>
  <c r="L31" i="62"/>
  <c r="L30" i="62"/>
  <c r="L29" i="62"/>
  <c r="L28" i="62"/>
  <c r="L27" i="62"/>
  <c r="L26" i="62"/>
  <c r="L25" i="62"/>
  <c r="L24" i="62"/>
  <c r="L23" i="62"/>
  <c r="E32" i="62"/>
  <c r="E31" i="62"/>
  <c r="E30" i="62"/>
  <c r="E29" i="62"/>
  <c r="E28" i="62"/>
  <c r="E27" i="62"/>
  <c r="E26" i="62"/>
  <c r="E25" i="62"/>
  <c r="E24" i="62"/>
  <c r="D36" i="64"/>
  <c r="B4" i="64"/>
  <c r="G70" i="63"/>
  <c r="G58" i="63"/>
  <c r="G33" i="63"/>
  <c r="C5" i="63"/>
  <c r="C4" i="63"/>
  <c r="C104" i="60"/>
  <c r="C57" i="60"/>
  <c r="C6" i="60"/>
  <c r="C55" i="60" s="1"/>
  <c r="C102" i="60" s="1"/>
  <c r="C5" i="60"/>
  <c r="C105" i="60"/>
  <c r="F110" i="60"/>
  <c r="D64" i="60"/>
  <c r="D35" i="60"/>
  <c r="C35" i="60"/>
  <c r="B35" i="60"/>
  <c r="A35" i="60"/>
  <c r="D69" i="60" l="1"/>
  <c r="D77" i="60" s="1"/>
  <c r="C42" i="60"/>
  <c r="F32" i="65"/>
  <c r="F121" i="60"/>
  <c r="C103" i="60"/>
  <c r="C56" i="60"/>
  <c r="E53" i="62"/>
  <c r="I135" i="60"/>
  <c r="C58" i="60"/>
  <c r="E33" i="62"/>
  <c r="L33" i="62"/>
  <c r="L53" i="62"/>
  <c r="G73" i="63"/>
  <c r="G138" i="63" s="1"/>
  <c r="L55" i="62" l="1"/>
  <c r="E87" i="60"/>
  <c r="I140" i="60"/>
  <c r="D82" i="60"/>
  <c r="D116" i="60" s="1"/>
  <c r="D39" i="64"/>
  <c r="D45" i="64" s="1"/>
  <c r="D127" i="60" l="1"/>
  <c r="I143" i="60" s="1"/>
  <c r="D21" i="65" l="1"/>
  <c r="E53" i="65" l="1"/>
  <c r="F53" i="6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Kaitlyn Maze</author>
  </authors>
  <commentList>
    <comment ref="J7" authorId="0" shapeId="0" xr:uid="{86F6A953-50C3-4C09-8768-0A7F44640F03}">
      <text>
        <r>
          <rPr>
            <b/>
            <sz val="9"/>
            <color indexed="81"/>
            <rFont val="Tahoma"/>
            <family val="2"/>
          </rPr>
          <t>Kaitlyn Maze:</t>
        </r>
        <r>
          <rPr>
            <sz val="9"/>
            <color indexed="81"/>
            <rFont val="Tahoma"/>
            <family val="2"/>
          </rPr>
          <t xml:space="preserve">
Manually updated per Optional Survey Method</t>
        </r>
      </text>
    </comment>
    <comment ref="K7" authorId="0" shapeId="0" xr:uid="{FCD82FF7-8C17-472F-B44F-41D5F29CEBB9}">
      <text>
        <r>
          <rPr>
            <b/>
            <sz val="9"/>
            <color indexed="81"/>
            <rFont val="Tahoma"/>
            <family val="2"/>
          </rPr>
          <t>Kaitlyn Maze:</t>
        </r>
        <r>
          <rPr>
            <sz val="9"/>
            <color indexed="81"/>
            <rFont val="Tahoma"/>
            <family val="2"/>
          </rPr>
          <t xml:space="preserve">
Manually updated per Optional Survey Method</t>
        </r>
      </text>
    </comment>
    <comment ref="N7" authorId="0" shapeId="0" xr:uid="{FFE44FCE-ED53-42CB-AD4C-7D5E78031DD8}">
      <text>
        <r>
          <rPr>
            <b/>
            <sz val="9"/>
            <color indexed="81"/>
            <rFont val="Tahoma"/>
            <family val="2"/>
          </rPr>
          <t>Kaitlyn Maze:</t>
        </r>
        <r>
          <rPr>
            <sz val="9"/>
            <color indexed="81"/>
            <rFont val="Tahoma"/>
            <family val="2"/>
          </rPr>
          <t xml:space="preserve">
Manually updated to 0.78 per Optional Survey Method</t>
        </r>
      </text>
    </comment>
    <comment ref="O7" authorId="0" shapeId="0" xr:uid="{43C34A2A-81D1-4E0B-8FC3-9D7C487AA1D2}">
      <text>
        <r>
          <rPr>
            <b/>
            <sz val="9"/>
            <color indexed="81"/>
            <rFont val="Tahoma"/>
            <family val="2"/>
          </rPr>
          <t>Kaitlyn Maze:</t>
        </r>
        <r>
          <rPr>
            <sz val="9"/>
            <color indexed="81"/>
            <rFont val="Tahoma"/>
            <family val="2"/>
          </rPr>
          <t xml:space="preserve">
GIWA uses calculated SEASPROP of 0.442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Kaitlyn Maze</author>
  </authors>
  <commentList>
    <comment ref="H13" authorId="0" shapeId="0" xr:uid="{283C91E2-C571-48C9-8A4D-FE48BDC70374}">
      <text>
        <r>
          <rPr>
            <b/>
            <sz val="9"/>
            <color indexed="81"/>
            <rFont val="Tahoma"/>
            <family val="2"/>
          </rPr>
          <t>Kaitlyn Maze:</t>
        </r>
        <r>
          <rPr>
            <sz val="9"/>
            <color indexed="81"/>
            <rFont val="Tahoma"/>
            <family val="2"/>
          </rPr>
          <t xml:space="preserve">
Manually updated per Optional Survey Method</t>
        </r>
      </text>
    </comment>
    <comment ref="I13" authorId="0" shapeId="0" xr:uid="{EE6C4FEF-0B52-4AAA-8E97-2DE27DC33DFD}">
      <text>
        <r>
          <rPr>
            <b/>
            <sz val="9"/>
            <color indexed="81"/>
            <rFont val="Tahoma"/>
            <family val="2"/>
          </rPr>
          <t>Kaitlyn Maze:</t>
        </r>
        <r>
          <rPr>
            <sz val="9"/>
            <color indexed="81"/>
            <rFont val="Tahoma"/>
            <family val="2"/>
          </rPr>
          <t xml:space="preserve">
Manually updated per Optional Survey Method</t>
        </r>
      </text>
    </comment>
    <comment ref="L13" authorId="0" shapeId="0" xr:uid="{49343612-C85A-4328-B35B-B05A3492B310}">
      <text>
        <r>
          <rPr>
            <b/>
            <sz val="9"/>
            <color indexed="81"/>
            <rFont val="Tahoma"/>
            <family val="2"/>
          </rPr>
          <t>Kaitlyn Maze:</t>
        </r>
        <r>
          <rPr>
            <sz val="9"/>
            <color indexed="81"/>
            <rFont val="Tahoma"/>
            <family val="2"/>
          </rPr>
          <t xml:space="preserve">
Manually updated per Optional Survey Method</t>
        </r>
      </text>
    </comment>
    <comment ref="M13" authorId="0" shapeId="0" xr:uid="{16107090-BBFD-46BC-8B75-B0E88654AB03}">
      <text>
        <r>
          <rPr>
            <b/>
            <sz val="9"/>
            <color indexed="81"/>
            <rFont val="Tahoma"/>
            <family val="2"/>
          </rPr>
          <t>Kaitlyn Maze:</t>
        </r>
        <r>
          <rPr>
            <sz val="9"/>
            <color indexed="81"/>
            <rFont val="Tahoma"/>
            <family val="2"/>
          </rPr>
          <t xml:space="preserve">
GIWA uses calculated SEASPROP of 0.442</t>
        </r>
      </text>
    </comment>
    <comment ref="C247" authorId="0" shapeId="0" xr:uid="{17E3B717-D160-4551-AC75-67081DB517F9}">
      <text>
        <r>
          <rPr>
            <b/>
            <sz val="9"/>
            <color indexed="81"/>
            <rFont val="Tahoma"/>
            <family val="2"/>
          </rPr>
          <t>Kaitlyn Maze:</t>
        </r>
        <r>
          <rPr>
            <sz val="9"/>
            <color indexed="81"/>
            <rFont val="Tahoma"/>
            <family val="2"/>
          </rPr>
          <t xml:space="preserve">
WUP updated from 5251 to 21107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Yassert A. Gonzalez</author>
  </authors>
  <commentList>
    <comment ref="M71" authorId="0" shapeId="0" xr:uid="{72354D92-229B-4FCA-AAC2-D09A9A92B17E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totals include all Marion County Utilities' WUPs consolidated into 6151.</t>
        </r>
      </text>
    </comment>
    <comment ref="N71" authorId="0" shapeId="0" xr:uid="{F275C956-C1B5-4849-9477-3E7B095B05BD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totals include all Marion County Utilities' WUPs consolidated into 6151.</t>
        </r>
      </text>
    </comment>
    <comment ref="O71" authorId="0" shapeId="0" xr:uid="{182C9617-3FB2-4E05-8B45-5C08C83B51A4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totals include all Marion County Utilities' WUPs consolidated into 6151.</t>
        </r>
      </text>
    </comment>
    <comment ref="P71" authorId="0" shapeId="0" xr:uid="{57C9886F-FF2A-4879-9159-296FB765419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totals include all Marion County Utilities' WUPs consolidated into 6151.</t>
        </r>
      </text>
    </comment>
    <comment ref="Q71" authorId="0" shapeId="0" xr:uid="{FFBD9F64-AABF-4819-8A0B-C8AFADDCAB7D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totals include all Marion County Utilities' WUPs consolidated into 6151.</t>
        </r>
      </text>
    </comment>
    <comment ref="M76" authorId="0" shapeId="0" xr:uid="{49559B0E-31E8-4B17-A0A7-68ECC8705484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 includes Rainbow Springs and Juliette Falls.</t>
        </r>
      </text>
    </comment>
    <comment ref="N76" authorId="0" shapeId="0" xr:uid="{7C559596-FBE9-43AE-A4A3-29F0513334C8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 includes Rainbow Springs and Juliette Falls.</t>
        </r>
      </text>
    </comment>
    <comment ref="O76" authorId="0" shapeId="0" xr:uid="{54A03797-A25E-469F-B93D-E856884A6BF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 includes Rainbow Springs and Juliette Falls.</t>
        </r>
      </text>
    </comment>
    <comment ref="P76" authorId="0" shapeId="0" xr:uid="{0EC89028-1440-416E-A51D-1949651C8D56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 includes Rainbow Springs and Juliette Falls.</t>
        </r>
      </text>
    </comment>
    <comment ref="Q76" authorId="0" shapeId="0" xr:uid="{C4EC707B-EB61-4938-A0D2-C4AC86274945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dwelling unit total includes Rainbow Springs and Juliette Falls.</t>
        </r>
      </text>
    </comment>
    <comment ref="M114" authorId="0" shapeId="0" xr:uid="{A23E7AE9-54AB-4303-9629-71C5D6E2A849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N114" authorId="0" shapeId="0" xr:uid="{EECD9542-E7CA-43E5-A4C1-0939874180A5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O114" authorId="0" shapeId="0" xr:uid="{519BE1A2-7AE5-43C2-8A80-90D6F6A1B45B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P114" authorId="0" shapeId="0" xr:uid="{8632CC56-9D35-4E4A-9EB1-D04CE42BCFC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Q114" authorId="0" shapeId="0" xr:uid="{A1B22606-30F3-4108-83B4-0536046D9EFB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Yassert A. Gonzalez</author>
    <author>Ryan J. Pearson</author>
  </authors>
  <commentList>
    <comment ref="M5" authorId="0" shapeId="0" xr:uid="{9AC73823-F9AB-47AA-99DA-57EBD2F1D499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Data reflects net commuter estimates calculated using Gasparilla Island Bridge Authority Survey.</t>
        </r>
      </text>
    </comment>
    <comment ref="N5" authorId="0" shapeId="0" xr:uid="{F72DB248-5298-42B8-A489-3D3ED2365B02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Data reflects net commuter estimates calculated using Gasparilla Island Bridge Authority Survey.</t>
        </r>
      </text>
    </comment>
    <comment ref="O5" authorId="0" shapeId="0" xr:uid="{CA562A8B-C7BD-48C0-A24B-35EB2311A1E5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Data reflects net commuter estimates calculated using Gasparilla Island Bridge Authority Survey.</t>
        </r>
      </text>
    </comment>
    <comment ref="P5" authorId="0" shapeId="0" xr:uid="{C063ECCF-00AB-43F0-B270-E5D3386EFA8D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Data reflects net commuter estimates calculated using Gasparilla Island Bridge Authority Survey.</t>
        </r>
      </text>
    </comment>
    <comment ref="Q32" authorId="1" shapeId="0" xr:uid="{9FBE9EE3-1457-49C4-9118-E8A2A04F375F}">
      <text>
        <r>
          <rPr>
            <b/>
            <sz val="9"/>
            <color indexed="81"/>
            <rFont val="Tahoma"/>
            <family val="2"/>
          </rPr>
          <t>Ryan J. Pearson:</t>
        </r>
        <r>
          <rPr>
            <sz val="9"/>
            <color indexed="81"/>
            <rFont val="Tahoma"/>
            <family val="2"/>
          </rPr>
          <t xml:space="preserve">
Added population from WUPs 2179, 2983, 12011 for consistency</t>
        </r>
      </text>
    </comment>
    <comment ref="R32" authorId="1" shapeId="0" xr:uid="{4FF6F028-2C17-4007-8217-DEDF47A53321}">
      <text>
        <r>
          <rPr>
            <b/>
            <sz val="9"/>
            <color indexed="81"/>
            <rFont val="Tahoma"/>
            <family val="2"/>
          </rPr>
          <t>Ryan J. Pearson:</t>
        </r>
        <r>
          <rPr>
            <sz val="9"/>
            <color indexed="81"/>
            <rFont val="Tahoma"/>
            <family val="2"/>
          </rPr>
          <t xml:space="preserve">
Added population from WUPs 2179, 2983, 12011 for consistency</t>
        </r>
      </text>
    </comment>
    <comment ref="S32" authorId="1" shapeId="0" xr:uid="{74A99922-84F7-4780-855D-9BB8FA990CC1}">
      <text>
        <r>
          <rPr>
            <b/>
            <sz val="9"/>
            <color indexed="81"/>
            <rFont val="Tahoma"/>
            <family val="2"/>
          </rPr>
          <t>Ryan J. Pearson:</t>
        </r>
        <r>
          <rPr>
            <sz val="9"/>
            <color indexed="81"/>
            <rFont val="Tahoma"/>
            <family val="2"/>
          </rPr>
          <t xml:space="preserve">
Consolidation of permits 2179, 2983, 12011</t>
        </r>
      </text>
    </comment>
    <comment ref="F64" authorId="0" shapeId="0" xr:uid="{D622F64C-C6D2-466B-8772-1D6BDB95B17A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G64" authorId="0" shapeId="0" xr:uid="{F4D715FB-50DE-4E60-8F63-AC8F069FE1B2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H64" authorId="0" shapeId="0" xr:uid="{C7F56988-4AEB-432A-A06A-35F57CB553E4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I64" authorId="0" shapeId="0" xr:uid="{A478BE79-A59C-465E-8A1A-469579046A7D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J64" authorId="0" shapeId="0" xr:uid="{3F96D3AF-3B5B-4B6C-B768-FA2F265A485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K64" authorId="0" shapeId="0" xr:uid="{45B48CE5-FD0F-470A-B234-E465717365A9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L64" authorId="0" shapeId="0" xr:uid="{4514FED6-0BEE-4ABC-A036-C7F017CCB7E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M64" authorId="0" shapeId="0" xr:uid="{85CD6704-4230-4B52-BF28-3C265803ADB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N64" authorId="0" shapeId="0" xr:uid="{F2A3D7C7-7B7E-4961-AD54-9FA18A10EFC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O64" authorId="0" shapeId="0" xr:uid="{13879C26-5B13-4DC6-B0DF-B9A5ED41B3B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P64" authorId="0" shapeId="0" xr:uid="{7382D2B1-FB11-45EE-BF73-039691A0ACD3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gross use includes the NW and SC Hillsborough service areas.</t>
        </r>
      </text>
    </comment>
    <comment ref="F75" authorId="0" shapeId="0" xr:uid="{170C7237-DC21-4CE2-AAC8-C99728B01CF6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G75" authorId="0" shapeId="0" xr:uid="{5D620956-1423-4EF9-903F-FE022E40B743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H75" authorId="0" shapeId="0" xr:uid="{BF1F280E-4D26-4151-95FF-4435474AB962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I75" authorId="0" shapeId="0" xr:uid="{7BBA6A61-8408-40A4-8129-420545CE9262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J75" authorId="0" shapeId="0" xr:uid="{5865B0B9-4361-4A77-97E8-644A5DD7235E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K75" authorId="0" shapeId="0" xr:uid="{DD32F9A9-406B-4EAB-B9B8-998D44892356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L75" authorId="0" shapeId="0" xr:uid="{64DC76B7-41AC-439C-9E41-271C2D72E25A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M75" authorId="0" shapeId="0" xr:uid="{525DD8C2-B681-481B-A2C8-1658ABDE2F3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N75" authorId="0" shapeId="0" xr:uid="{11A16FD1-19CB-43BF-BE55-C7BE4DD70C1B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O75" authorId="0" shapeId="0" xr:uid="{9B64967D-8084-4360-A066-ADAC878148CE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P75" authorId="0" shapeId="0" xr:uid="{4160C82A-BA21-41EC-B208-8C3D57916D9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total is for the consolidated permit.</t>
        </r>
      </text>
    </comment>
    <comment ref="G80" authorId="0" shapeId="0" xr:uid="{5D0DC5BE-FFDA-4757-B6BC-F5E0C90D0E18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H80" authorId="0" shapeId="0" xr:uid="{D4393910-9997-49F5-8ACE-F37AA9C0DEE3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I80" authorId="0" shapeId="0" xr:uid="{31A114FA-54FB-4812-BCBF-2A04B0FD00C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J80" authorId="0" shapeId="0" xr:uid="{8C242C80-CE1F-4325-83BC-48ADB66BE7C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K80" authorId="0" shapeId="0" xr:uid="{4DD1A7C9-0F47-4109-858F-67A99EDEBE87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L80" authorId="0" shapeId="0" xr:uid="{8747205A-5743-4724-BC06-40B9A76305F6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M80" authorId="0" shapeId="0" xr:uid="{5358ED70-08E1-485D-AB23-92CE7FB1C9D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N80" authorId="0" shapeId="0" xr:uid="{92CAE689-1F16-48F8-BB7A-14E06CDDE2C0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O80" authorId="0" shapeId="0" xr:uid="{A29FD812-D22D-40DC-9990-695A8F9AA88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P80" authorId="0" shapeId="0" xr:uid="{4C86A341-8079-4D08-90CE-9D9036FD1429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This population estimate includes Rainbow Springs (WUP# 4257).</t>
        </r>
      </text>
    </comment>
    <comment ref="L118" authorId="0" shapeId="0" xr:uid="{7FFCBB50-94D4-4BCF-84AC-91E97B3BB8FF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M118" authorId="0" shapeId="0" xr:uid="{43677AC8-A3B5-4BB4-857D-8A31A5045C05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N118" authorId="0" shapeId="0" xr:uid="{E60FFA1B-BA05-4BFA-9B7A-2F5B7C17958E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O118" authorId="0" shapeId="0" xr:uid="{AECEA4C6-E406-4EBD-ACC1-E5A06E4CF096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  <comment ref="P118" authorId="0" shapeId="0" xr:uid="{2694C45E-DC64-42D3-A3EA-523A50F9A88D}">
      <text>
        <r>
          <rPr>
            <b/>
            <sz val="10"/>
            <color indexed="81"/>
            <rFont val="Tahoma"/>
            <family val="2"/>
          </rPr>
          <t>Yassert A. Gonzalez:</t>
        </r>
        <r>
          <rPr>
            <sz val="10"/>
            <color indexed="81"/>
            <rFont val="Tahoma"/>
            <family val="2"/>
          </rPr>
          <t xml:space="preserve">
Source:  The permittee submitted corrected 2008-2012 PSAR data during its 2013 permit renewal.</t>
        </r>
      </text>
    </comment>
  </commentList>
</comments>
</file>

<file path=xl/sharedStrings.xml><?xml version="1.0" encoding="utf-8"?>
<sst xmlns="http://schemas.openxmlformats.org/spreadsheetml/2006/main" count="4240" uniqueCount="961">
  <si>
    <t>Welcome!</t>
  </si>
  <si>
    <t>These are Worksheets A-I for Part D of the Water Use Permit Information Manual.</t>
  </si>
  <si>
    <t>If you have verified that your service area is correct, then you may proceed to calculate your</t>
  </si>
  <si>
    <t>population served.   Please follow steps 1 and 2.  Once complete, print Worksheets A-I and Submit with your PSAR</t>
  </si>
  <si>
    <t>1) Select your service area from the drop down menu below:</t>
  </si>
  <si>
    <t>RESUNITS</t>
  </si>
  <si>
    <t>2)  Enter your total dwelling units served:</t>
  </si>
  <si>
    <t>Note: For master-metered communities, please utilize the Index A-Residential Account sheet to calculate total dwelling units served</t>
  </si>
  <si>
    <t>Voila!  Here is your total population served:</t>
  </si>
  <si>
    <t>REQPOP+FTOURPOP+FNETCOM</t>
  </si>
  <si>
    <t>Note:  The above population served estimates includes the permanent, seasonal, tourist, and</t>
  </si>
  <si>
    <t>net commuters.  If you plan to take a significant use deduction, you may not be able to include</t>
  </si>
  <si>
    <t>tourist and net commuters.  Restrictions apply.</t>
  </si>
  <si>
    <t>Data from the last five years:</t>
  </si>
  <si>
    <t>Total Dwellings Units Served</t>
  </si>
  <si>
    <t>Average</t>
  </si>
  <si>
    <t>Population Served</t>
  </si>
  <si>
    <t>Date Printed:</t>
  </si>
  <si>
    <t>Worksheet A: Residential Account Housing Unit Estimation</t>
  </si>
  <si>
    <t>Permittee Name:</t>
  </si>
  <si>
    <t>INDEX</t>
  </si>
  <si>
    <t>Permit Number(s):</t>
  </si>
  <si>
    <t>Year of Interest:</t>
  </si>
  <si>
    <t>Enter Only Meter Data for Residential Accounts (No Commercial)</t>
  </si>
  <si>
    <t>Do Not Include Irrigation Account Meters</t>
  </si>
  <si>
    <t>Data Entry Required in Solid Bordered Cells</t>
  </si>
  <si>
    <t>Calculated Output in Dashed Bordered Cells</t>
  </si>
  <si>
    <t>Total Individually Metered Residences:</t>
  </si>
  <si>
    <t>= A</t>
  </si>
  <si>
    <t>Master Metered Residential Accounts Worksheet</t>
  </si>
  <si>
    <t>Single Family Master Metered</t>
  </si>
  <si>
    <t>Multi-family Master Metered</t>
  </si>
  <si>
    <t>Number</t>
  </si>
  <si>
    <t>Equivalent</t>
  </si>
  <si>
    <t>OR</t>
  </si>
  <si>
    <t xml:space="preserve">Single </t>
  </si>
  <si>
    <t xml:space="preserve">of Single </t>
  </si>
  <si>
    <t>Unit</t>
  </si>
  <si>
    <t>Residential</t>
  </si>
  <si>
    <t>Counted</t>
  </si>
  <si>
    <t>of Multi-</t>
  </si>
  <si>
    <t xml:space="preserve">Family </t>
  </si>
  <si>
    <t>Family</t>
  </si>
  <si>
    <t>Adjust-</t>
  </si>
  <si>
    <t>Account</t>
  </si>
  <si>
    <t xml:space="preserve">Meter </t>
  </si>
  <si>
    <t>Master</t>
  </si>
  <si>
    <t>ment</t>
  </si>
  <si>
    <t xml:space="preserve">Housing </t>
  </si>
  <si>
    <t>Size</t>
  </si>
  <si>
    <t>Units</t>
  </si>
  <si>
    <t>Meters</t>
  </si>
  <si>
    <t>Factor</t>
  </si>
  <si>
    <t>Housing</t>
  </si>
  <si>
    <t>B</t>
  </si>
  <si>
    <t>C</t>
  </si>
  <si>
    <t>D</t>
  </si>
  <si>
    <t>(B x C) / D</t>
  </si>
  <si>
    <t>= E</t>
  </si>
  <si>
    <t>= F</t>
  </si>
  <si>
    <t>3/4"</t>
  </si>
  <si>
    <t>1"</t>
  </si>
  <si>
    <t>1 1/2"</t>
  </si>
  <si>
    <t>2"</t>
  </si>
  <si>
    <t>3"</t>
  </si>
  <si>
    <t>4"</t>
  </si>
  <si>
    <t>6"</t>
  </si>
  <si>
    <t>8"</t>
  </si>
  <si>
    <t>10"</t>
  </si>
  <si>
    <t>12"</t>
  </si>
  <si>
    <t>Sum:</t>
  </si>
  <si>
    <t>Mobile Home (Trailer) Master Metered</t>
  </si>
  <si>
    <t>Manufactured Home Master Metered</t>
  </si>
  <si>
    <t xml:space="preserve">of Mobile </t>
  </si>
  <si>
    <t>of Manu.</t>
  </si>
  <si>
    <t>Home</t>
  </si>
  <si>
    <t>G</t>
  </si>
  <si>
    <t>Total Residential Account Housing Units for the Year of Interest (RESUNITS) = G</t>
  </si>
  <si>
    <t>Use this value in PopulationServed sheet to calculation functional population</t>
  </si>
  <si>
    <t>(Sum the total individually metered residences (A) and the sums of equivalent master metered residential account housing</t>
  </si>
  <si>
    <t>units (Es) or the sums of the counted master metered residential account housing units (Fs).</t>
  </si>
  <si>
    <t>Worksheet B: Service Area Summary</t>
  </si>
  <si>
    <t>Page 1 of 3</t>
  </si>
  <si>
    <t>Census Data Year:</t>
  </si>
  <si>
    <t>Calculated Output in Dashed Bordred Cells</t>
  </si>
  <si>
    <t>Optional Survey Data Entry in Double Outlined Cells</t>
  </si>
  <si>
    <t>1. Service Area Residential Housing Account Data Required</t>
  </si>
  <si>
    <t>(From Worksheet A)</t>
  </si>
  <si>
    <t>Housing Units</t>
  </si>
  <si>
    <t>Year of</t>
  </si>
  <si>
    <t>Interest</t>
  </si>
  <si>
    <t>2. Census Data Required for All Census Blocks in Service Area</t>
  </si>
  <si>
    <t>(From Worksheet C)</t>
  </si>
  <si>
    <t>Sum of</t>
  </si>
  <si>
    <t>Census</t>
  </si>
  <si>
    <t xml:space="preserve">Sum of </t>
  </si>
  <si>
    <t>Population</t>
  </si>
  <si>
    <t>Group</t>
  </si>
  <si>
    <t>in House-</t>
  </si>
  <si>
    <t>House-</t>
  </si>
  <si>
    <t>Quarters</t>
  </si>
  <si>
    <t>Total</t>
  </si>
  <si>
    <t>Holds</t>
  </si>
  <si>
    <t>CPOPNHH</t>
  </si>
  <si>
    <t>CHH</t>
  </si>
  <si>
    <t>CGRUPPOP</t>
  </si>
  <si>
    <t>CHOUSUNITS</t>
  </si>
  <si>
    <t>3. Permanent Resident Persons/Household (PERMPPH) - Choose One Only</t>
  </si>
  <si>
    <t>Optional Ap-</t>
  </si>
  <si>
    <t>proved Survey</t>
  </si>
  <si>
    <t>Method</t>
  </si>
  <si>
    <t>PERMPPH</t>
  </si>
  <si>
    <t>(CPOPNHH/CHH) =</t>
  </si>
  <si>
    <t>4. Seasonal Resident Persons Per Household (SEASPPH) - Choose One Only</t>
  </si>
  <si>
    <t>Default</t>
  </si>
  <si>
    <t>SEASPPH</t>
  </si>
  <si>
    <t>Worksheet B: Service Area Summary Worksheet (Cont'd)</t>
  </si>
  <si>
    <t>Page 2 of 3</t>
  </si>
  <si>
    <t>5. Service Area Peak Seasonal Resident Ratio (SEASRR)</t>
  </si>
  <si>
    <t>(From Worksheet D Part 1)</t>
  </si>
  <si>
    <t>SEASRR</t>
  </si>
  <si>
    <t>(not required if using survey data)</t>
  </si>
  <si>
    <t>6. Calculation of Service Area Census Year Seasonal Households (SEASHH)</t>
  </si>
  <si>
    <t>( not required if using survey data)</t>
  </si>
  <si>
    <t>SEASHH</t>
  </si>
  <si>
    <t xml:space="preserve">((SEASRR - 1) x CPOPNHH) / SEASPPH = </t>
  </si>
  <si>
    <t xml:space="preserve">7. Calculation of Seasonal Households to Total Households Ratio (SEAS/TOTHH) </t>
  </si>
  <si>
    <t>SEAS/TOTHH</t>
  </si>
  <si>
    <t>or</t>
  </si>
  <si>
    <t xml:space="preserve">SEASHH / (CHH + SEASHH) = </t>
  </si>
  <si>
    <t>8. Calculation of Seasonal Resident Peak Population - Yr. of Interest (SEASPKPOP)</t>
  </si>
  <si>
    <t>SEASPKPOP</t>
  </si>
  <si>
    <t xml:space="preserve">RESUNITS x SEAS/TOTHH x SEASPPH = </t>
  </si>
  <si>
    <t>9. Calculation of Permanent Resident Population for Yr. of Interest (PERMPOP)</t>
  </si>
  <si>
    <t>PERMPOP</t>
  </si>
  <si>
    <t xml:space="preserve">(1 - SEAS/TOTHH) x RESUNITS x PERMPPH = </t>
  </si>
  <si>
    <t>10. Seasonal Proportional Residence Time (SEASPROP)</t>
  </si>
  <si>
    <t>Beach</t>
  </si>
  <si>
    <t>or Non-Beach</t>
  </si>
  <si>
    <t>or Optional</t>
  </si>
  <si>
    <t>Destination</t>
  </si>
  <si>
    <t xml:space="preserve"> Approved </t>
  </si>
  <si>
    <t>County</t>
  </si>
  <si>
    <t>Survey</t>
  </si>
  <si>
    <t>Default=0.442</t>
  </si>
  <si>
    <t>Default=0.567</t>
  </si>
  <si>
    <t>SEASPROP</t>
  </si>
  <si>
    <t>Worksheet B: Service Area Summary (Cont'd)</t>
  </si>
  <si>
    <t>Page 3 of 3</t>
  </si>
  <si>
    <t>11. Calculation of Seasonal Resident Adjustment Factor (SEASADJ)</t>
  </si>
  <si>
    <t>SEASADJ</t>
  </si>
  <si>
    <t xml:space="preserve">((SEASPROP x 132) + ((1 - SEASPROP) x (132 - 69.3))) / 132 = </t>
  </si>
  <si>
    <t>12. Calculation of Functional Seasonal Resident Population</t>
  </si>
  <si>
    <t>for Year of Interest (FSEASPOP)</t>
  </si>
  <si>
    <t>FSEASPOP</t>
  </si>
  <si>
    <t xml:space="preserve">SEASPKPOP x SEASADJ = </t>
  </si>
  <si>
    <t>13. Calculation of Group Quarters Population for Year of Interest (GRUPPOP)</t>
  </si>
  <si>
    <t>GRUPPOP</t>
  </si>
  <si>
    <t>(CGRUPPOP/CHOUSUNITS) x RESUNITS</t>
  </si>
  <si>
    <t>14. Calculation of Total Required Functional Population</t>
  </si>
  <si>
    <t>for Year of Interest (REQPOP)</t>
  </si>
  <si>
    <t>REQPOP</t>
  </si>
  <si>
    <t xml:space="preserve">PERMPOP + FSEASPOP + GRUPPOP = </t>
  </si>
  <si>
    <t>15. Optional Total Functional Tourist Population for Year of Interest (FTOURPOP)</t>
  </si>
  <si>
    <t>FTOURPOP</t>
  </si>
  <si>
    <t>Must include documentation of sources and calculations</t>
  </si>
  <si>
    <t>(From Worksheet G)</t>
  </si>
  <si>
    <t>16. Optional Functional Net Commuter Population for Year of Interest (FNETCOM)</t>
  </si>
  <si>
    <t>(From Worksheet I)</t>
  </si>
  <si>
    <t>FNETCOM</t>
  </si>
  <si>
    <t xml:space="preserve">Total Required and Optional Functional Service Area Population </t>
  </si>
  <si>
    <t>For the Year of Interest = REQPOP + FTOURPOP + FNETCOM =</t>
  </si>
  <si>
    <t>Worksheet G:  Functional Tourist Population</t>
  </si>
  <si>
    <t>Page:   of :</t>
  </si>
  <si>
    <t>Population Year of Interest:</t>
  </si>
  <si>
    <t>Data Entry Required in Solid Bold Bordered Cells</t>
  </si>
  <si>
    <t>Use Part 1 to estimate functional tourist population from directly collected</t>
  </si>
  <si>
    <t>collected data or Part 2 to to estimate functional tourist population indirectly</t>
  </si>
  <si>
    <t>from touris accomodation taxes.  Use Part 3 to estimate functional in-home</t>
  </si>
  <si>
    <t>tourist population.</t>
  </si>
  <si>
    <t>Part 1: Public Lodging Data Method</t>
  </si>
  <si>
    <t>a. Inventory of Service Area Public Lodging</t>
  </si>
  <si>
    <t>Attach documentation of data source and year collected.</t>
  </si>
  <si>
    <t>Note:  Insert additional rows as needed.</t>
  </si>
  <si>
    <t>Number of</t>
  </si>
  <si>
    <t xml:space="preserve">Public Lodging Facility Name </t>
  </si>
  <si>
    <t>Rooms</t>
  </si>
  <si>
    <t>A</t>
  </si>
  <si>
    <t>Sum of Service Area Rooms = A</t>
  </si>
  <si>
    <t>b. Average Annual Monthly Occupancy Rate</t>
  </si>
  <si>
    <t xml:space="preserve">Attach documentation of data source and year collected. For seasonal </t>
  </si>
  <si>
    <t>data, insert same occupancy rate for each month in applicable season.</t>
  </si>
  <si>
    <t>For average annual data, enter annual rate in each month.</t>
  </si>
  <si>
    <t>Customer survey data must be weighted by customer rooms.</t>
  </si>
  <si>
    <t>See Section A-5.1.2.</t>
  </si>
  <si>
    <t>Monthly</t>
  </si>
  <si>
    <t>Occupancy</t>
  </si>
  <si>
    <t>Month</t>
  </si>
  <si>
    <t>Rate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</si>
  <si>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</si>
  <si>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</si>
  <si>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</si>
  <si>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</si>
  <si>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</si>
  <si>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</si>
  <si>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</si>
  <si>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</si>
  <si>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</si>
  <si>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</si>
  <si>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</si>
  <si>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</si>
  <si>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Sum of Monthly Occupancy Rates = C</t>
  </si>
  <si>
    <t>Average Monthly Occupancy Rate = D = C/12</t>
  </si>
  <si>
    <t>c. Average Guests Per Room (party size)</t>
  </si>
  <si>
    <t>Documentation of data source and year collected required (other than defaults).</t>
  </si>
  <si>
    <t>Customer survey data must be weighted by number of rooms per customer</t>
  </si>
  <si>
    <t>respondent.  See Section 5.1.4 of Appendix A..</t>
  </si>
  <si>
    <t xml:space="preserve">Enter an X under the source of the data and enter the selected value under E. </t>
  </si>
  <si>
    <t xml:space="preserve">Coastal Beach </t>
  </si>
  <si>
    <t>All Other</t>
  </si>
  <si>
    <t>Lodging</t>
  </si>
  <si>
    <t>Other</t>
  </si>
  <si>
    <t>Destination County</t>
  </si>
  <si>
    <t>Counties</t>
  </si>
  <si>
    <t>Customer</t>
  </si>
  <si>
    <t>(Must</t>
  </si>
  <si>
    <t>Default = 2.7</t>
  </si>
  <si>
    <t>Default = 2.3</t>
  </si>
  <si>
    <t>Document)</t>
  </si>
  <si>
    <t>E</t>
  </si>
  <si>
    <t>d. Total Direct Data Daily Public Lodging Tourist Population</t>
  </si>
  <si>
    <t>F</t>
  </si>
  <si>
    <t>F = A x D x E</t>
  </si>
  <si>
    <t>Part 2: Tourist Accomodations Lodging Tax Method</t>
  </si>
  <si>
    <t>If average daily room rate is from customer survey, room rates must be</t>
  </si>
  <si>
    <t>weighted by number of rooms per customer respondent (see Section 5.1.4 App. A).</t>
  </si>
  <si>
    <t>a. Calculation of Room Days Per Month</t>
  </si>
  <si>
    <t>Service Area Tourist</t>
  </si>
  <si>
    <t>Daily</t>
  </si>
  <si>
    <t>Total Room</t>
  </si>
  <si>
    <t>Accomodation Tax</t>
  </si>
  <si>
    <t>Room</t>
  </si>
  <si>
    <t>Days Per</t>
  </si>
  <si>
    <t>Collections</t>
  </si>
  <si>
    <t>Tax Rate</t>
  </si>
  <si>
    <t>Revenue</t>
  </si>
  <si>
    <t>H</t>
  </si>
  <si>
    <t>I = G/H</t>
  </si>
  <si>
    <t>J</t>
  </si>
  <si>
    <t>K = I/J</t>
  </si>
  <si>
    <t>L</t>
  </si>
  <si>
    <t>Sum of Room Days Per Month = L</t>
  </si>
  <si>
    <t>b. Average Guests Per Room (party size)</t>
  </si>
  <si>
    <t>respondent.  See Section 5.1.4 of Appendix A.</t>
  </si>
  <si>
    <t xml:space="preserve">Enter an X under the source of the data and enter the selected value under M. </t>
  </si>
  <si>
    <t>M</t>
  </si>
  <si>
    <t xml:space="preserve">c. Calculation of Tourist Tax Estimated Tourist Daily Population </t>
  </si>
  <si>
    <t>N</t>
  </si>
  <si>
    <t>N = (L x M)/365</t>
  </si>
  <si>
    <t>Part 3. In-Home Tourist Population</t>
  </si>
  <si>
    <t>Documentation of data source and year collected required.</t>
  </si>
  <si>
    <t>Note:  See Worksheet A for total Service Area Residential Account</t>
  </si>
  <si>
    <t>Housing Units for the Year of Interest (RESUNITS)</t>
  </si>
  <si>
    <t>Average In-</t>
  </si>
  <si>
    <t xml:space="preserve">Average </t>
  </si>
  <si>
    <t>Home Tourist</t>
  </si>
  <si>
    <t>Annual In-</t>
  </si>
  <si>
    <t>Household</t>
  </si>
  <si>
    <t>Tourists</t>
  </si>
  <si>
    <t>Per Year</t>
  </si>
  <si>
    <t>per Day</t>
  </si>
  <si>
    <t>O</t>
  </si>
  <si>
    <t>P</t>
  </si>
  <si>
    <t>Q</t>
  </si>
  <si>
    <t>Q = (O x P)/365</t>
  </si>
  <si>
    <t>Part 4: Total Functional (Daily) Tourist Population (FTOURPOP)</t>
  </si>
  <si>
    <t>The total functional tourist population is the sum of "F" from Part 1</t>
  </si>
  <si>
    <t>or "N" from Part 2 plus "Q" from Part 3.</t>
  </si>
  <si>
    <t>+</t>
  </si>
  <si>
    <t>Worksheet I: Functional Net Commuter Population</t>
  </si>
  <si>
    <t>Page 1 of :</t>
  </si>
  <si>
    <t>NOTE: See Section 6.1 of Appendix A for identification and selection of Census Tracts.</t>
  </si>
  <si>
    <t>Additional Census tract rows may be added as needed.</t>
  </si>
  <si>
    <t>Census Tracts Included</t>
  </si>
  <si>
    <t>Net Commuters</t>
  </si>
  <si>
    <t>Census Total Housing Units</t>
  </si>
  <si>
    <t>Census County or Code</t>
  </si>
  <si>
    <t>Tract Number</t>
  </si>
  <si>
    <t>by Census Tract</t>
  </si>
  <si>
    <t>(CHOUSUNITS) by Tract</t>
  </si>
  <si>
    <t>Sums</t>
  </si>
  <si>
    <t>Ratio of Net Commuters</t>
  </si>
  <si>
    <t>to Census Total</t>
  </si>
  <si>
    <t>C =A/B</t>
  </si>
  <si>
    <t>Housing Units =  C = A/B</t>
  </si>
  <si>
    <t>Net Commuters for Year</t>
  </si>
  <si>
    <t>D = C x RESUNITS</t>
  </si>
  <si>
    <t>of Interest D = C x RESUNITS</t>
  </si>
  <si>
    <t>(for RESUNITS see Section 1</t>
  </si>
  <si>
    <t>of Worksheet B.</t>
  </si>
  <si>
    <t xml:space="preserve">Functional Net Commuter </t>
  </si>
  <si>
    <t>Population for Year of Interest</t>
  </si>
  <si>
    <t>FNETCOM = D x .333 x .714</t>
  </si>
  <si>
    <t>Data to Complete Appendix C Worksheets</t>
  </si>
  <si>
    <t>Part D of the Water Use Permit Information Manual:  Requirements for the Estimation of Permanent And Temporal Service Area Populations</t>
  </si>
  <si>
    <t>Water Use Permit</t>
  </si>
  <si>
    <t>Year</t>
  </si>
  <si>
    <t>Sum of Census 2020 Population in Households</t>
  </si>
  <si>
    <t>Sum of Census 2020 Households</t>
  </si>
  <si>
    <t>Sum of Census 2020 Group Quarter Population</t>
  </si>
  <si>
    <t>Sum of Census 2020 Total Housing Units</t>
  </si>
  <si>
    <t>Census 2020 Permanent Persons per Household</t>
  </si>
  <si>
    <t>Seasonal Resident Persons per Household</t>
  </si>
  <si>
    <t>Service Area Peak Seasonal Resident Ratio (2009-2011)</t>
  </si>
  <si>
    <t>Service Area Census Year Seasonal Household</t>
  </si>
  <si>
    <t>Seasonal Households to Total Households Ratio</t>
  </si>
  <si>
    <t>Seasonal Proportional Resident Time</t>
  </si>
  <si>
    <t>Seasonal Resident Adjustment Factor</t>
  </si>
  <si>
    <t>Average Annual Monthly Occupancy Rate (2023)</t>
  </si>
  <si>
    <t>Average Guest Per Room (Party Size)</t>
  </si>
  <si>
    <t>Ratio of Net Commuters to Census Total Housing Units by Tract (2006-2010 ACS)</t>
  </si>
  <si>
    <t>Worksheet</t>
  </si>
  <si>
    <t>I</t>
  </si>
  <si>
    <t>COUNTY</t>
  </si>
  <si>
    <t>SEARCH_FIELD</t>
  </si>
  <si>
    <t>Utility Name</t>
  </si>
  <si>
    <t>WUP</t>
  </si>
  <si>
    <t>C=A/B</t>
  </si>
  <si>
    <t>ROOMS</t>
  </si>
  <si>
    <t>DWELLTMINUS4</t>
  </si>
  <si>
    <t>DWELLTMINUS3</t>
  </si>
  <si>
    <t>DWELLTMINUS2</t>
  </si>
  <si>
    <t>DWELLTMINUS1</t>
  </si>
  <si>
    <t>POPTMINUS4</t>
  </si>
  <si>
    <t>POPTMINUS3</t>
  </si>
  <si>
    <t>POPTMINUS2</t>
  </si>
  <si>
    <t>POPTMINUS1</t>
  </si>
  <si>
    <t>CHARLOTTE</t>
  </si>
  <si>
    <t>CHARLOTTE_GASPARILLA ISLAND WATER ASSOC._WUP#_718</t>
  </si>
  <si>
    <t>GASPARILLA ISLAND WATER ASSOC.</t>
  </si>
  <si>
    <t>CHARLOTTE_CITY OF PUNTA GORDA UTILITY DEPT_WUP#_871</t>
  </si>
  <si>
    <t>CITY OF PUNTA GORDA UTILITY DEPT</t>
  </si>
  <si>
    <t>CHARLOTTE_CHARLOTTE HARBOR WATER ASSOC._WUP#_1512</t>
  </si>
  <si>
    <t>CHARLOTTE HARBOR WATER ASSOC.</t>
  </si>
  <si>
    <t>CHARLOTTE_CHARLOTTE COUNTY UTILITIES_WUP#_3522</t>
  </si>
  <si>
    <t>CHARLOTTE COUNTY UTILITIES</t>
  </si>
  <si>
    <t>CHARLOTTE_CHARLOTTE COUNTY UTILITIES_WUP#_7104</t>
  </si>
  <si>
    <t>CHARLOTTE_ISLAND HARBOR BCH CLUB LTD &amp; CHAR_WUP#_7768</t>
  </si>
  <si>
    <t>ISLAND HARBOR BCH CLUB LTD &amp; CHAR</t>
  </si>
  <si>
    <t>CHARLOTTE_HOMEOWNERS OF ALLIGATOR PARK_WUP#_8626</t>
  </si>
  <si>
    <t>HOMEOWNERS OF ALLIGATOR PARK</t>
  </si>
  <si>
    <t>CHARLOTTE_EL JOBEAN WATER ASSOC._WUP#_99913</t>
  </si>
  <si>
    <t>EL JOBEAN WATER ASSOC.</t>
  </si>
  <si>
    <t>CHARLOTTE_RIVERWOOD DEVELOPMENT_WUP#_99916</t>
  </si>
  <si>
    <t>RIVERWOOD DEVELOPMENT</t>
  </si>
  <si>
    <t>CITRUS</t>
  </si>
  <si>
    <t>CITRUS_CITY OF CRYSTAL RIVER_WUP#_207</t>
  </si>
  <si>
    <t>CITY OF CRYSTAL RIVER</t>
  </si>
  <si>
    <t>CITRUS_CITY OF INVERNESS_WUP#_419</t>
  </si>
  <si>
    <t>CITY OF INVERNESS</t>
  </si>
  <si>
    <t>CITRUS_CITRUS COUNTY UTILITIES_WUP#_729</t>
  </si>
  <si>
    <t>CITRUS COUNTY UTILITIES</t>
  </si>
  <si>
    <t>CITRUS_FLORAL CITY WATER ASSOCIATION_WUP#_1118</t>
  </si>
  <si>
    <t>FLORAL CITY WATER ASSOCIATION</t>
  </si>
  <si>
    <t>CITRUS_ROYAL OAKS OF CITRUS HOA_WUP#_1345</t>
  </si>
  <si>
    <t>ROYAL OAKS OF CITRUS HOA</t>
  </si>
  <si>
    <t>CITRUS_CITRUS COUNTY UTILITIES_WUP#_2842</t>
  </si>
  <si>
    <t>CITRUS_DAVID L., HOLLY A., JAMES L., PATRICIA A. COOK_WUP#_4008</t>
  </si>
  <si>
    <t>DAVID L., HOLLY A., JAMES L., PATRICIA A. COOK</t>
  </si>
  <si>
    <t>CITRUS_ROLLING OAKS UTILITIES, INC._WUP#_4153</t>
  </si>
  <si>
    <t>ROLLING OAKS UTILITIES, INC.</t>
  </si>
  <si>
    <t>CITRUS_HOMOSASSA SPECIAL WATER DISTRICT_WUP#_4406</t>
  </si>
  <si>
    <t>HOMOSASSA SPECIAL WATER DISTRICT</t>
  </si>
  <si>
    <t>CITRUS_CONSTATE UTILITIES_WUP#_4753</t>
  </si>
  <si>
    <t>CONSTATE UTILITIES</t>
  </si>
  <si>
    <t>CITRUS_GULF HIGHWAY LAND CORP._WUP#_6691</t>
  </si>
  <si>
    <t>GULF HIGHWAY LAND CORP.</t>
  </si>
  <si>
    <t>CITRUS_CITRUS COUNTY UTILITIES_WUP#_7121</t>
  </si>
  <si>
    <t>CITRUS_CITRUS COUNTY UTILITIES_WUP#_7295</t>
  </si>
  <si>
    <t>CITRUS_CITRUS COUNTY UTILITIES_WUP#_7879</t>
  </si>
  <si>
    <t>CITRUS_OAK POND LLC, A FLORIDA LLC_WUP#_8147</t>
  </si>
  <si>
    <t>OAK POND LLC, A FLORIDA LLC</t>
  </si>
  <si>
    <t>CITRUS_TARAWOOD OF FLORAL CITY_WUP#_9097</t>
  </si>
  <si>
    <t>TARAWOOD OF FLORAL CITY</t>
  </si>
  <si>
    <t>CITRUS_BREENBRIAR ONE OF CITRUS HILLS OWNERS ASSOCIATION INC_WUP#_9532</t>
  </si>
  <si>
    <t>BREENBRIAR ONE OF CITRUS HILLS OWNERS ASSOCIATION INC</t>
  </si>
  <si>
    <t>CITRUS_CITRUS COUNTY UTILITIES_WUP#_9791</t>
  </si>
  <si>
    <t>CITRUS_WALDEN WOODS OF SUGARMILL INC._WUP#_11839</t>
  </si>
  <si>
    <t>WALDEN WOODS OF SUGARMILL INC.</t>
  </si>
  <si>
    <t>CITRUS_OZELLO WATER ASSOCIATION INC_WUP#_20230</t>
  </si>
  <si>
    <t>OZELLO WATER ASSOCIATION INC</t>
  </si>
  <si>
    <t>DESOTO</t>
  </si>
  <si>
    <t>DESOTO_CITY OF ARCADIA_WUP#_4725</t>
  </si>
  <si>
    <t>CITY OF ARCADIA</t>
  </si>
  <si>
    <t>DESOTO_DESOTO COUNTY_WUP#_20457</t>
  </si>
  <si>
    <t>DESOTO COUNTY</t>
  </si>
  <si>
    <t>HARDEE</t>
  </si>
  <si>
    <t>HARDEE_CITY OF BOWLING GREEN MUNICIPAL_WUP#_30</t>
  </si>
  <si>
    <t>CITY OF BOWLING GREEN MUNICIPAL</t>
  </si>
  <si>
    <t>HARDEE_CITY OF WAUCHULA_WUP#_4461</t>
  </si>
  <si>
    <t>CITY OF WAUCHULA</t>
  </si>
  <si>
    <t>HARDEE_MHC PEACE RIVER LLC_WUP#_7022</t>
  </si>
  <si>
    <t>MHC PEACE RIVER LLC</t>
  </si>
  <si>
    <t>HARDEE_TOWN OF ZOLFO SPRINGS_WUP#_7658</t>
  </si>
  <si>
    <t>TOWN OF ZOLFO SPRINGS</t>
  </si>
  <si>
    <t>HARDEE_HARDEE COUNTY -  WAUCHULA HILLS  PWS_WUP#_13026</t>
  </si>
  <si>
    <t>HARDEE COUNTY -  WAUCHULA SPRINGS  PWS</t>
  </si>
  <si>
    <t>HERNANDO</t>
  </si>
  <si>
    <t>HERNANDO_MCGIST INC.  (FRONTIER CAMPGROUD)_WUP#_3720</t>
  </si>
  <si>
    <t>MCGIST INC.  (FRONTIER CAMPGROUD)</t>
  </si>
  <si>
    <t>HERNANDO_HERNANDO COUNTY WATER AND SEWER_WUP#_5789</t>
  </si>
  <si>
    <t>HERNANDO COUNTY WATER AND SEWER</t>
  </si>
  <si>
    <t>HERNANDO_CITY OF BROOKSVILLE_WUP#_7627</t>
  </si>
  <si>
    <t>CITY OF BROOKSVILLE</t>
  </si>
  <si>
    <t>HIGHLANDS</t>
  </si>
  <si>
    <t>HIGHLANDS_HC WATERWORKS_WUP#_4167</t>
  </si>
  <si>
    <t>HC WATERWORKS</t>
  </si>
  <si>
    <t>HIGHLANDS_CITY OF SEBRING_WUP#_4492</t>
  </si>
  <si>
    <t>CITY OF SEBRING</t>
  </si>
  <si>
    <t>HIGHLANDS_MARANANTHA BAPTIST CHURCH_WUP#_4670</t>
  </si>
  <si>
    <t>MARANANTHA BAPTIST CHURCH</t>
  </si>
  <si>
    <t>HIGHLANDS_LAKE PLACID HOLDING CO_WUP#_4980</t>
  </si>
  <si>
    <t>LAKE PLACID HOLDING CO</t>
  </si>
  <si>
    <t>HIGHLANDS_TOWN OF LAKE PLACID_WUP#_5270</t>
  </si>
  <si>
    <t>TOWN OF LAKE PLACID</t>
  </si>
  <si>
    <t>HIGHLANDS_CITY OF AVON PARK_WUP#_6029</t>
  </si>
  <si>
    <t>CITY OF AVON PARK</t>
  </si>
  <si>
    <t>HIGHLANDS_HC WATERWORKS_WUP#_6456</t>
  </si>
  <si>
    <t>HIGHLANDS_BUTTONWOOD BAY UTILITIES_WUP#_7139</t>
  </si>
  <si>
    <t>BUTTONWOOD BAY UTILITIES</t>
  </si>
  <si>
    <t>HIGHLANDS_COUNTRY CLUB UTILITIES_WUP#_7704</t>
  </si>
  <si>
    <t>COUNTRY CLUB UTILITIES</t>
  </si>
  <si>
    <t>HIGHLANDS_EAGLE LAKE ESTATES LLC_WUP#_9140</t>
  </si>
  <si>
    <t>EAGLE LAKE ESTATES LLC</t>
  </si>
  <si>
    <t>HIGHLANDS_LP UTILITIES INC._WUP#_9490</t>
  </si>
  <si>
    <t>LP UTILITIES INC.</t>
  </si>
  <si>
    <t>HIGHLANDS_SUN'N LAKE OF SEBRING_WUP#_13099</t>
  </si>
  <si>
    <t>SUN'N LAKE OF SEBRING</t>
  </si>
  <si>
    <t>HIGHLANDS_SILVER LAKE UTILITIES, INC._WUP#_13367</t>
  </si>
  <si>
    <t>SILVER LAKE UTILITIES, INC.</t>
  </si>
  <si>
    <t>HILLSBOROUGH</t>
  </si>
  <si>
    <t>HILLSBOROUGH_CITY OF TEMPLE TERRACE_WUP#_450</t>
  </si>
  <si>
    <t>CITY OF TEMPLE TERRACE</t>
  </si>
  <si>
    <t>HILLSBOROUGH_CITY OF PLANT CITY UTILITIES_WUP#_1776</t>
  </si>
  <si>
    <t>CITY OF PLANT CITY UTILITIES</t>
  </si>
  <si>
    <t>HILLSBOROUGH_PARADISE LAKES UTILITY, LLC_WUP#_1787</t>
  </si>
  <si>
    <t>PARADISE LAKES UTILITY, LLC</t>
  </si>
  <si>
    <t>HILLSBOROUGH_CITY OF TAMPA WATER DEPT_WUP#_2062</t>
  </si>
  <si>
    <t>CITY OF TAMPA WATER DEPT</t>
  </si>
  <si>
    <t>HILLSBOROUGH_CHARLES SPRINGER_WUP#_2285</t>
  </si>
  <si>
    <t>CHARLES SPRINGER</t>
  </si>
  <si>
    <t>HILLSBOROUGH_UTILITIES, INC._WUP#_2707</t>
  </si>
  <si>
    <t>UTILITIES, INC.</t>
  </si>
  <si>
    <t>HILLSBOROUGH_LITTLE MANATEE ISLE MHP_WUP#_2888</t>
  </si>
  <si>
    <t>LITTLE MANATEE ISLE MHP</t>
  </si>
  <si>
    <t>HILLSBOROUGH_WILDER CORPORATION_WUP#_4757</t>
  </si>
  <si>
    <t>WILDER CORPORATION</t>
  </si>
  <si>
    <t>HILLSBOROUGH_C W UTILITY SYSTEMS LLC_WUP#_6879</t>
  </si>
  <si>
    <t>C W UTILITY SYSTEMS LLC</t>
  </si>
  <si>
    <t>HILLSBOROUGH_MALCO INDUSTRIES INC._WUP#_7002</t>
  </si>
  <si>
    <t>MALCO INDUSTRIES INC.</t>
  </si>
  <si>
    <t>HILLSBOROUGH_RIVERSIDE GOLF COURSE COMM LLC_WUP#_7637</t>
  </si>
  <si>
    <t>RIVERSIDE GOLF COURSE COMM LLC</t>
  </si>
  <si>
    <t>HILLSBOROUGH_UNIPROP INCOME FUND II (PARADISE VILLAGE)_WUP#_7790</t>
  </si>
  <si>
    <t>UNIPROP INCOME FUND II (PARADISE VILLAGE)</t>
  </si>
  <si>
    <t>HILLSBOROUGH_ALLIED UTILITIES,  INC._WUP#_8986</t>
  </si>
  <si>
    <t>ALLIED UTILITIES,  INC.</t>
  </si>
  <si>
    <t>HILLSBOROUGH_WINDEMERE UTILITY COMPANY_WUP#_10443</t>
  </si>
  <si>
    <t>WINDEMERE UTILITY COMPANY</t>
  </si>
  <si>
    <t>HILLSBOROUGH_PLURIS PCU INC_WUP#_12994</t>
  </si>
  <si>
    <t>PLURIS PCU INC</t>
  </si>
  <si>
    <t>HILLSBOROUGH_HILLSBOROUGH COUNTY UTILITIES_WUP#_20141</t>
  </si>
  <si>
    <t>HILLSBOROUGH COUNTY UTILITIES</t>
  </si>
  <si>
    <t>LEVY</t>
  </si>
  <si>
    <t>LEVY_CITY OF WILLISTON_WUP#_5640</t>
  </si>
  <si>
    <t>CITY OF WILLISTON</t>
  </si>
  <si>
    <t>LEVY_TOWN OF YANKEETOWN_WUP#_7755</t>
  </si>
  <si>
    <t>TOWN OF YANKEETOWN</t>
  </si>
  <si>
    <t>LEVY_OAK AVENUE WATER SYSTEM_WUP#_7825</t>
  </si>
  <si>
    <t>OAK AVENUE WATER SYSTEM</t>
  </si>
  <si>
    <t>LEVY_TOWN OF INGLIS_WUP#_8953</t>
  </si>
  <si>
    <t>TOWN OF INGLIS</t>
  </si>
  <si>
    <t>MANATEE</t>
  </si>
  <si>
    <t>MANATEE_CITY OF BRADENTON PUBLIC WORKS_WUP#_6392</t>
  </si>
  <si>
    <t>CITY OF BRADENTON PUBLIC WORKS</t>
  </si>
  <si>
    <t>MANATEE_TOWN OF LONGBOAT KEY_WUP#_10963</t>
  </si>
  <si>
    <t>TOWN OF LONGBOAT KEY</t>
  </si>
  <si>
    <t>MANATEE_CITY OF PALMETTO PUBLIC WORKS_WUP#_12443</t>
  </si>
  <si>
    <t>CITY OF PALMETTO PUBLIC WORKS</t>
  </si>
  <si>
    <t>MANATEE_MANATEE COUNTY UTILITIES_WUP#_13343</t>
  </si>
  <si>
    <t>MANATEE COUNTY UTILITIES</t>
  </si>
  <si>
    <t>MARION</t>
  </si>
  <si>
    <t>MARION_BAY LAUREL COMMUNITY DEVELOPMENT DISTRICT_WUP#_1156</t>
  </si>
  <si>
    <t>BAY LAUREL COMMUNITY DEVELOPMENT DISTRICT</t>
  </si>
  <si>
    <t>MARION_MARION UTILITIES INC._WUP#_2999</t>
  </si>
  <si>
    <t>MARION UTILITIES INC.</t>
  </si>
  <si>
    <t>MARION_UTILITIES, INC._WUP#_5643</t>
  </si>
  <si>
    <t>MARION_FOXWOOD MOBILE HOME PARK_WUP#_5731</t>
  </si>
  <si>
    <t>FOXWOOD MOBILE HOME PARK</t>
  </si>
  <si>
    <t>MARION_OCALA_RV_RESORT_WUP#_5746</t>
  </si>
  <si>
    <t>OCALA RV RESORT</t>
  </si>
  <si>
    <t>MARION_MARION COUNTY UTILITIES_WUP#_6151</t>
  </si>
  <si>
    <t>MARION COUNTY UTILITIES</t>
  </si>
  <si>
    <t>MARION_MARION UTILITIES INC._WUP#_6574</t>
  </si>
  <si>
    <t>MARION_SUN COMMUNITIES - SADDLE OAK CLUB MHC_WUP#_6792</t>
  </si>
  <si>
    <t>SUN COMMUNITIES - SADDLE OAK CLUB MHC</t>
  </si>
  <si>
    <t>MARION_MARION UTILITIES INC._WUP#_7849</t>
  </si>
  <si>
    <t>MARION_CENTURY-FAIRFIELD VILLAGE LTD_WUP#_8005</t>
  </si>
  <si>
    <t>CENTURY-FAIRFIELD VILLAGE LTD</t>
  </si>
  <si>
    <t>MARION_MARION LANDING HOMEOWNERS_WUP#_8020</t>
  </si>
  <si>
    <t>MARION LANDING HOMEOWNERS</t>
  </si>
  <si>
    <t>MARION_CITY OF DUNNELLON_WUP#_8339</t>
  </si>
  <si>
    <t>CITY OF DUNNELLON</t>
  </si>
  <si>
    <t>MARION_MARION UTILITIES INC._WUP#_8481</t>
  </si>
  <si>
    <t>MARION_SWEETWATER OAKS LTD_WUP#_9425</t>
  </si>
  <si>
    <t>SWEETWATER OAKS LTD</t>
  </si>
  <si>
    <t>MARION_SOUTH DUNNELLON WATER ASSOCIATION_WUP#_10966</t>
  </si>
  <si>
    <t>SOUTH DUNNELLON WATER ASSOCIATION</t>
  </si>
  <si>
    <t>MARION_SATAKE VILLAGE UTILITIES_WUP#_20098</t>
  </si>
  <si>
    <t>SATAKE VILLAGE UTILITIES</t>
  </si>
  <si>
    <t>MARION_CITY OF DUNNELLON_WUP#_20213</t>
  </si>
  <si>
    <t>PASCO</t>
  </si>
  <si>
    <t>PASCO_FLORIDA GOVERNMENTAL UTILITY AUTHORITY_WUP#_279</t>
  </si>
  <si>
    <t>FLORIDA GOVERNMENTAL UTILITY AUTHORITY</t>
  </si>
  <si>
    <t>PASCO_HOLIDAY GARDENS UTILITIES, INC._WUP#_540</t>
  </si>
  <si>
    <t>HOLIDAY GARDENS UTILITIES, INC.</t>
  </si>
  <si>
    <t>PASCO_CRESTRIDGE UTILITY CORPORATION_WUP#_543</t>
  </si>
  <si>
    <t>CRESTRIDGE UTILITY CORPORATION</t>
  </si>
  <si>
    <t>PASCO_FLORIDA GOVERNMENTAL UTILITY AUTHORITY_WUP#_590</t>
  </si>
  <si>
    <t>PASCO_TRAVLERS REST RESORT INC._WUP#_923</t>
  </si>
  <si>
    <t>TRAVLERS REST RESORT INC.</t>
  </si>
  <si>
    <t>PASCO_C.S. WATER CO. INC._WUP#_964</t>
  </si>
  <si>
    <t>C.S. WATER CO. INC.</t>
  </si>
  <si>
    <t>PASCO_CITY OF DADE CITY_WUP#_1631</t>
  </si>
  <si>
    <t>CITY OF DADE CITY</t>
  </si>
  <si>
    <t>PASCO_FLORIDA GOVERNMENTAL UTILITY AUTHORITY_WUP#_2319</t>
  </si>
  <si>
    <t>PASCO_FLORIDA GOVERNMENTAL UTILITY AUTHORITY_WUP#_2978</t>
  </si>
  <si>
    <t>PASCO_FLORIDA GOVERNMENTAL UTILITY AUTHORITY_WUP#_3182</t>
  </si>
  <si>
    <t>PASCO_TIPPECANOE VILLAGE HOMEOWNERS_WUP#_3528</t>
  </si>
  <si>
    <t>TIPPECANOE VILLAGE HOMEOWNERS</t>
  </si>
  <si>
    <t>PASCO_UTILITIES, INC._WUP#_3590</t>
  </si>
  <si>
    <t>PASCO_COUNTRY AIRE SERVICE CORPORATION_WUP#_3619</t>
  </si>
  <si>
    <t>COUNTRY AIRE SERVICE CORPORATION</t>
  </si>
  <si>
    <t>PASCO_FLORIDA GOVERNMENTAL UTILITY AUTHORITY_WUP#_3677</t>
  </si>
  <si>
    <t>PASCO_CITY OF PORT RICHEY_WUP#_3692</t>
  </si>
  <si>
    <t>CITY OF PORT RICHEY</t>
  </si>
  <si>
    <t>PASCO_AQUA UTILITIES FLORIDA, INC._WUP#_3759</t>
  </si>
  <si>
    <t>AQUA UTILITIES FLORIDA, INC.</t>
  </si>
  <si>
    <t>PASCO_CITY OF SAN ANTONIO_WUP#_4550</t>
  </si>
  <si>
    <t>CITY OF SAN ANTONIO</t>
  </si>
  <si>
    <t>PASCO_UTILITIES, INC._WUP#_4668</t>
  </si>
  <si>
    <t>PASCO_HUDSON WATER WORKS, INC._WUP#_4669</t>
  </si>
  <si>
    <t>HUDSON WATER WORKS, INC.</t>
  </si>
  <si>
    <t>PASCO_CITY OF NEW PORT RICHEY_WUP#_4734</t>
  </si>
  <si>
    <t>CITY OF NEW PORT RICHEY</t>
  </si>
  <si>
    <t>PASCO_HACIENDA UTILITIES LTD_WUP#_5953</t>
  </si>
  <si>
    <t>HACIENDA UTILITIES LTD</t>
  </si>
  <si>
    <t>PASCO_CITY OF ZEPHYRHILLS_WUP#_6040</t>
  </si>
  <si>
    <t>CITY OF ZEPHYRHILLS</t>
  </si>
  <si>
    <t>PASCO_FLORIDA GOVERNMENTAL UTILITY AUTHORITY_WUP#_6223</t>
  </si>
  <si>
    <t>PASCO_GEM ESTATES_WUP#_6640</t>
  </si>
  <si>
    <t>GEM ESTATES</t>
  </si>
  <si>
    <t>PASCO_UTILITIES, INC._WUP#_6867</t>
  </si>
  <si>
    <t>PASCO_JEFFERY A. COLE_WUP#_6982</t>
  </si>
  <si>
    <t>JEFFERY A. COLE</t>
  </si>
  <si>
    <t>PASCO_CAV. HOMEOWNERS COOPERATIVE, INC._WUP#_7588</t>
  </si>
  <si>
    <t>CAV. HOMEOWNERS COOPERATIVE, INC.</t>
  </si>
  <si>
    <t>PASCO_FLORIDA GOVERNMENTAL UTILITY AUTHORITY_WUP#_7718</t>
  </si>
  <si>
    <t>PASCO_FLORIDA GOVERNMENTAL UTILITY AUTHORITY_WUP#_7745</t>
  </si>
  <si>
    <t>PASCO_FLORIDA GOVERNMENTAL UTILITY AUTHORITY_WUP#_7999</t>
  </si>
  <si>
    <t>PASCO_FLORIDA GOVERNMENTAL UTILITY AUTHORITY_WUP#_8417</t>
  </si>
  <si>
    <t>PASCO_PARRISH PROPERTIES V LLC_WUP#_8491</t>
  </si>
  <si>
    <t>PARRISH PROPERTIES V LLC</t>
  </si>
  <si>
    <t>PASCO_SOUTHFORK MOBILE HOME COMM_WUP#_9666</t>
  </si>
  <si>
    <t>SOUTHFORK MOBILE HOME COMM</t>
  </si>
  <si>
    <t>PASCO_AQUA UTILITIES FLORIDA, INC._WUP#_11082</t>
  </si>
  <si>
    <t>PASCO_PASCO COUNTY UTILITIES_WUP#_11863</t>
  </si>
  <si>
    <t>PASCO COUNTY UTILITIES</t>
  </si>
  <si>
    <t>PASCO_ARBOR OAKS (MINK ASSOC.)_WUP#_99906</t>
  </si>
  <si>
    <t>ARBOR OAKS (MINK ASSOC.)</t>
  </si>
  <si>
    <t>PASCO_ORCHID LAKE UTILITIES_WUP#_99915</t>
  </si>
  <si>
    <t>ORCHID LAKE UTILITIES</t>
  </si>
  <si>
    <t>PINELLAS</t>
  </si>
  <si>
    <t>PINELLAS_CITY OF TARPON SPRINGS_WUP#_742</t>
  </si>
  <si>
    <t>CITY OF TARPON SPRINGS</t>
  </si>
  <si>
    <t>PINELLAS_CITY OF DUNEDIN_WUP#_2980</t>
  </si>
  <si>
    <t>CITY OF DUNEDIN</t>
  </si>
  <si>
    <t>PINELLAS_CITY OF CLEARWATER-WATER DIV_WUP#_2981</t>
  </si>
  <si>
    <t>CITY OF CLEARWATER-WATER DIV</t>
  </si>
  <si>
    <t>PINELLAS_TOWN OF BELLEAIR_WUP#_7692</t>
  </si>
  <si>
    <t>TOWN OF BELLEAIR</t>
  </si>
  <si>
    <t>PINELLAS_UTILITIES, INC._WUP#_10350</t>
  </si>
  <si>
    <t>PINELLAS_CITY OF GULFPORT_WUP#_10795</t>
  </si>
  <si>
    <t>CITY OF GULFPORT</t>
  </si>
  <si>
    <t>PINELLAS_CITY OF OLDSMAR_WUP#_11218</t>
  </si>
  <si>
    <t>CITY OF OLDSMAR</t>
  </si>
  <si>
    <t>PINELLAS_CITY OF SAFETY HARBOR_WUP#_11245</t>
  </si>
  <si>
    <t>CITY OF SAFETY HARBOR</t>
  </si>
  <si>
    <t>PINELLAS_CITY OF PINELLAS PARK_WUP#_12351</t>
  </si>
  <si>
    <t>CITY OF PINELLAS PARK</t>
  </si>
  <si>
    <t>PINELLAS_PINELLAS COUNTY UTILITIES_WUP#_20142</t>
  </si>
  <si>
    <t>PINELLAS COUNTY UTILITIES</t>
  </si>
  <si>
    <t>PINELLAS_CITY OF ST. PETERSBURG_WUP#_20143</t>
  </si>
  <si>
    <t>CITY OF ST. PETERSBURG</t>
  </si>
  <si>
    <t>POLK</t>
  </si>
  <si>
    <t>POLK_MOUNTAIN LAKE CORPORATION_WUP#_143</t>
  </si>
  <si>
    <t>MOUNTAIN LAKE CORPORATION</t>
  </si>
  <si>
    <t>POLK_CITY OF BARTOW_WUP#_341</t>
  </si>
  <si>
    <t>CITY OF BARTOW</t>
  </si>
  <si>
    <t>POLK_LELYNN RV RESORT_WUP#_587</t>
  </si>
  <si>
    <t>LELYNN RV RESORT</t>
  </si>
  <si>
    <t>POLK_CITY OF FORT MEADE_WUP#_645</t>
  </si>
  <si>
    <t>CITY OF FORT MEADE</t>
  </si>
  <si>
    <t>POLK_LAKE REGION MOBILE HOMEOWNERS_WUP#_1616</t>
  </si>
  <si>
    <t>LAKE REGION MOBILE HOMEOWNERS</t>
  </si>
  <si>
    <t>POLK_FOUR LAKES MOBILE HOME PARK_WUP#_1625</t>
  </si>
  <si>
    <t>FOUR LAKES MOBILE HOME PARK</t>
  </si>
  <si>
    <t>POLK_KEEN UTILITIES_WUP#_2083</t>
  </si>
  <si>
    <t>KEEN UTILITIES</t>
  </si>
  <si>
    <t>POLK_TOWN OF LAKE HAMILTON_WUP#_2332</t>
  </si>
  <si>
    <t>TOWN OF LAKE HAMILTON</t>
  </si>
  <si>
    <t>POLK_SCENIC VIEW MOBILE HOME PARK_WUP#_2410</t>
  </si>
  <si>
    <t>SCENIC VIEW MOBILE HOME PARK</t>
  </si>
  <si>
    <t>POLK_SWEETWATER EAST INVESTMENT CO_WUP#_2449</t>
  </si>
  <si>
    <t>SWEETWATER EAST INVESTMENT CO</t>
  </si>
  <si>
    <t>POLK_KEEN UTILITIES_WUP#_3214</t>
  </si>
  <si>
    <t>POLK_ORCHID SPRINGS DEVELOPMENT_WUP#_3415</t>
  </si>
  <si>
    <t>ORCHID SPRINGS DEVELOPMENT</t>
  </si>
  <si>
    <t>POLK_PARK WATER COMPANY_WUP#_4005</t>
  </si>
  <si>
    <t>PARK WATER COMPANY</t>
  </si>
  <si>
    <t>POLK_CMH PARKS INC_WUP#_4441</t>
  </si>
  <si>
    <t>CMH PARKS INC</t>
  </si>
  <si>
    <t>POLK_CITY OF WINTER HAVEN_WUP#_4607</t>
  </si>
  <si>
    <t>CITY OF WINTER HAVEN</t>
  </si>
  <si>
    <t>POLK_CITY OF LAKE WALES_WUP#_4658</t>
  </si>
  <si>
    <t>CITY OF LAKE WALES</t>
  </si>
  <si>
    <t>POLK_CITY OF LAKELAND ELECTRIC AND WATER_WUP#_4912</t>
  </si>
  <si>
    <t>CITY OF LAKELAND ELECTRIC AND WATER</t>
  </si>
  <si>
    <t>POLK_GRENELEFE RESORT UTILITY, INC._WUP#_21107</t>
  </si>
  <si>
    <t>GRENELEFE RESORT UTILITY, INC.</t>
  </si>
  <si>
    <t>POLK_CITY OF DAVENPORT_WUP#_5750</t>
  </si>
  <si>
    <t>CITY OF DAVENPORT</t>
  </si>
  <si>
    <t>RAINBOW RESORT</t>
  </si>
  <si>
    <t>POLK_CITY OF FROSTPROOF_WUP#_5870</t>
  </si>
  <si>
    <t>CITY OF FROSTPROOF</t>
  </si>
  <si>
    <t>POLK_TOWN OF DUNDEE_WUP#_5893</t>
  </si>
  <si>
    <t>TOWN OF DUNDEE</t>
  </si>
  <si>
    <t>POLK_CITY OF MULBERRY_WUP#_6124</t>
  </si>
  <si>
    <t>CITY OF MULBERRY</t>
  </si>
  <si>
    <t>POLK_SADDLEBAG LAKE OWNERS_WUP#_6174</t>
  </si>
  <si>
    <t>SADDLEBAG LAKE OWNERS</t>
  </si>
  <si>
    <t>POLK_WHISPERING PINES OF FROSTPROOF LLC_WUP#_6208</t>
  </si>
  <si>
    <t>WHISPERING PINES OF FROSTPROOF LLC</t>
  </si>
  <si>
    <t>POLK_POLK COUNTY UTILITIES_WUP#_6505</t>
  </si>
  <si>
    <t>POLK COUNTY UTILITIES</t>
  </si>
  <si>
    <t>POLK_POLK COUNTY UTILITIES_WUP#_6506</t>
  </si>
  <si>
    <t>POLK_POLK COUNTY UTILITIES_WUP#_6507</t>
  </si>
  <si>
    <t>POLK_POLK COUNTY UTILITIES_WUP#_6508</t>
  </si>
  <si>
    <t>POLK_POLK COUNTY UTILITIES_WUP#_6509</t>
  </si>
  <si>
    <t>POLK_CITY OF LAKE ALFRED_WUP#_6624</t>
  </si>
  <si>
    <t>CITY OF LAKE ALFRED</t>
  </si>
  <si>
    <t>POLK_KEEN UTILITIES_WUP#_6679</t>
  </si>
  <si>
    <t>POLK_CITY OF EAGLE LAKE_WUP#_6920</t>
  </si>
  <si>
    <t>CITY OF EAGLE LAKE</t>
  </si>
  <si>
    <t>POLK_CITY OF AUBURNDALE_WUP#_7119</t>
  </si>
  <si>
    <t>CITY OF AUBURNDALE</t>
  </si>
  <si>
    <t>POLK_TEVALO INC_WUP#_7172</t>
  </si>
  <si>
    <t>TEVALO INC</t>
  </si>
  <si>
    <t>POLK_CHCVII  LAKE HENRY MHP_WUP#_7187</t>
  </si>
  <si>
    <t>CHCVII  LAKE HENRY MHP</t>
  </si>
  <si>
    <t>POLK_CAREFREE RV COUNTRY CLUB_WUP#_7328</t>
  </si>
  <si>
    <t>CAREFREE RV COUNTRY CLUB</t>
  </si>
  <si>
    <t>POLK_CMH PARKS INC_WUP#_7333</t>
  </si>
  <si>
    <t>POLK_LAKEMONT RIDGE LLC_WUP#_7557</t>
  </si>
  <si>
    <t>LAKEMONT RIDGE LLC</t>
  </si>
  <si>
    <t>POLK_FLORIDA GOVERNMENTAL UTILITY AUTHORITY_WUP#_7653</t>
  </si>
  <si>
    <t>POLK_FLORIDA GOVERNMENTAL UTILITY AUTHORITY_WUP#_7878</t>
  </si>
  <si>
    <t>POLK_POLK COUNTY UTILITIES_WUP#_8054</t>
  </si>
  <si>
    <t>POLK_MOUSE MOUNTAIN RV RESORT_WUP#_8285</t>
  </si>
  <si>
    <t>MOUSE MOUNTAIN RV RESORT</t>
  </si>
  <si>
    <t>POLK_S. V. UTILITIES, LTD._WUP#_8344</t>
  </si>
  <si>
    <t>S. V. UTILITIES, LTD.</t>
  </si>
  <si>
    <t>POLK_THREE WORLDS LIMITED PARTNERSHIP_WUP#_8399</t>
  </si>
  <si>
    <t>THREE WORLDS LIMITED PARTNERSHIP</t>
  </si>
  <si>
    <t>POLK_CITY OF POLK CITY_WUP#_8468</t>
  </si>
  <si>
    <t>CITY OF POLK CITY</t>
  </si>
  <si>
    <t>POLK_CITY OF HAINES CITY_WUP#_8522</t>
  </si>
  <si>
    <t>CITY OF HAINES CITY</t>
  </si>
  <si>
    <t>POLK_PLANTATION LANDINGS MHP_WUP#_8753</t>
  </si>
  <si>
    <t>PLANTATION LANDINGS MHP</t>
  </si>
  <si>
    <t>POLK_SWEETWATER CO-OP_WUP#_8967</t>
  </si>
  <si>
    <t>SWEETWATER CO-OP</t>
  </si>
  <si>
    <t>POLK_PINECREST RANCHES_WUP#_9128</t>
  </si>
  <si>
    <t>PINECREST RANCHES</t>
  </si>
  <si>
    <t>POLK_FLORIDA GOVERNMENTAL UTILITY AUTHORITY_WUP#_9336</t>
  </si>
  <si>
    <t>POLK_SPRV LTD_WUP#_9557</t>
  </si>
  <si>
    <t>SPRV LTD</t>
  </si>
  <si>
    <t>POLK_KEEN UTILITIES_WUP#_9569</t>
  </si>
  <si>
    <t>POLK_VILLAGE OF HIGHLAND PARK_WUP#_9807</t>
  </si>
  <si>
    <t>VILLAGE OF HIGHLAND PARK</t>
  </si>
  <si>
    <t>POLK_VAN LAKES HOMEOWNERS ASSOCIATION_WUP#_9835</t>
  </si>
  <si>
    <t>VAN LAKES HOMEOWNERS ASSOCIATION</t>
  </si>
  <si>
    <t>POLK_POLK COUNTY UTILITIES_WUP#_10141</t>
  </si>
  <si>
    <t>POLK_JORDANS GROVE_WUP#_12800</t>
  </si>
  <si>
    <t>JORDANS GROVE</t>
  </si>
  <si>
    <t>POLK_ALAFIA PRESERVE, EAGLE RIDGE, AND DONALDSON KNOLL_WUP#_12964</t>
  </si>
  <si>
    <t>ALAFIA PRESERVE, EAGLE RIDGE, AND DONALDSON KNOLL</t>
  </si>
  <si>
    <t>POLK_UTILITIES, INC._WUP#_13043</t>
  </si>
  <si>
    <t>POLK_SKYVIEW UTILITIES_WUP#_99905</t>
  </si>
  <si>
    <t>SKYVIEW UTILITIES</t>
  </si>
  <si>
    <t>SARASOTA</t>
  </si>
  <si>
    <t>SARASOTA_CITY OF NORTH PORT_WUP#_2923</t>
  </si>
  <si>
    <t>CITY OF NORTH PORT</t>
  </si>
  <si>
    <t>SARASOTA_CITY OF SARASOTA_WUP#_4318</t>
  </si>
  <si>
    <t>CITY OF SARASOTA</t>
  </si>
  <si>
    <t>SARASOTA_ENGLEWOOD WATER DISTRICT_WUP#_4866</t>
  </si>
  <si>
    <t>ENGLEWOOD WATER DISTRICT</t>
  </si>
  <si>
    <t>SARASOTA_CITY OF VENICE_WUP#_5393</t>
  </si>
  <si>
    <t>CITY OF VENICE</t>
  </si>
  <si>
    <t>SARASOTA_JEROME &amp; FREDERICK ELLIS_WUP#_5456</t>
  </si>
  <si>
    <t>JEROME &amp; FREDERICK ELLIS</t>
  </si>
  <si>
    <t>SARASOTA_CAMELOT COMMUNITIES MHP LLC_WUP#_5807</t>
  </si>
  <si>
    <t>CAMELOT COMMUNITIES MHP LLC</t>
  </si>
  <si>
    <t>SARASOTA_ROYALTY RESORTS CORPORATION_WUP#_7448</t>
  </si>
  <si>
    <t>ROYALTY RESORTS CORPORATION</t>
  </si>
  <si>
    <t>SARASOTA_SARASOTA COUNTY BOCC UTILITIES DEPARTMENT_WUP#_8836</t>
  </si>
  <si>
    <t>SARASOTA COUNTY BOCC UTILITIES DEPARTMENT</t>
  </si>
  <si>
    <t>SARASOTA_PLURIS-SOUTH GATE UTILITIES_WUP#_99914</t>
  </si>
  <si>
    <t>PLURIS-SOUTH GATE UTILITIES</t>
  </si>
  <si>
    <t>SUMTER</t>
  </si>
  <si>
    <t>SUMTER_LAKE PANASOFFKEE WATER ASSOCIATION_WUP#_1368</t>
  </si>
  <si>
    <t>LAKE PANASOFFKEE WATER ASSOCIATION</t>
  </si>
  <si>
    <t>SUMTER_CITY OF BUSHNELL_WUP#_6519</t>
  </si>
  <si>
    <t>CITY OF BUSHNELL</t>
  </si>
  <si>
    <t>SUMTER_CITY OF WEBSTER_WUP#_7185</t>
  </si>
  <si>
    <t>CITY OF WEBSTER</t>
  </si>
  <si>
    <t>SUMTER_CEDAR ACRES INC._WUP#_7799</t>
  </si>
  <si>
    <t>CEDAR ACRES INC.</t>
  </si>
  <si>
    <t>SUMTER_CITY OF WILDWOOD_WUP#_8135</t>
  </si>
  <si>
    <t>CITY OF WILDWOOD</t>
  </si>
  <si>
    <t>SUMTER_CITY OF CENTER HILL_WUP#_8193</t>
  </si>
  <si>
    <t>CITY OF CENTER HILL</t>
  </si>
  <si>
    <t>SUMTER_CITY OF COLEMAN_WUP#_10488</t>
  </si>
  <si>
    <t>CITY OF COLEMAN</t>
  </si>
  <si>
    <t>ORANGE BLOSSOM UTILITIES</t>
  </si>
  <si>
    <t>SUMTER_THE VILLAGES COMBINED_WUP#_13005</t>
  </si>
  <si>
    <t>THE VILLAGES COMBINED</t>
  </si>
  <si>
    <t>SUMTER_FLORIDA GRANDE MOTOR COACH RESORT_WUP#_13123</t>
  </si>
  <si>
    <t>FLORIDA GRANDE MOTOR COACH RESORT</t>
  </si>
  <si>
    <t>SUMTER_SOUTH_SUMTER_UTILITY_COMPANY,LLC_WUP#_20721</t>
  </si>
  <si>
    <t>SOUTH SUMTER UTILITY COMPANY, LLC</t>
  </si>
  <si>
    <t>SUMTER_GIBSON PLACE UTILITY COMPANY LLC_WUP#_20901</t>
  </si>
  <si>
    <t>GIBSON PLACE UTILITY COMPANY LLC</t>
  </si>
  <si>
    <t>Published:</t>
  </si>
  <si>
    <t>Ratio_NCHU_22</t>
  </si>
  <si>
    <t>COUNTYNAME</t>
  </si>
  <si>
    <t>UTILITYNAM</t>
  </si>
  <si>
    <t>WUP_PERMIT</t>
  </si>
  <si>
    <t>SUM_CPOPNH</t>
  </si>
  <si>
    <t>SUM_CHH</t>
  </si>
  <si>
    <t>SUM_CGRUPP</t>
  </si>
  <si>
    <t>SUM_CHOUSU</t>
  </si>
  <si>
    <t>SEASTOTHH</t>
  </si>
  <si>
    <t>OCCRATE_23</t>
  </si>
  <si>
    <t>AVGPARTYSZ</t>
  </si>
  <si>
    <t>Ratio_NCHU</t>
  </si>
  <si>
    <t>GREENBRIAR ONE OF CITRUS HILLS OWNERS ASSOCIATION INC</t>
  </si>
  <si>
    <t>GULF COAST RV RESORT</t>
  </si>
  <si>
    <t>INVERNESS PARK</t>
  </si>
  <si>
    <t>INVERNESS VILLAGE CONDO ASSOCIATION</t>
  </si>
  <si>
    <t>TARAWOOD UTILITIES</t>
  </si>
  <si>
    <t>DESOTO VILLAGE MOBILE HOME PARK</t>
  </si>
  <si>
    <t>CRYSTAL LAKE VILLAGE</t>
  </si>
  <si>
    <t>FLORIDA SKP</t>
  </si>
  <si>
    <t>ORANGE BLOSSOM RV PARK INC</t>
  </si>
  <si>
    <t>TORREY OAKS</t>
  </si>
  <si>
    <t>CAMP-A-WYLE CONDOMINIUM</t>
  </si>
  <si>
    <t>CAMPERS HOLIDAY ASSOCIATION</t>
  </si>
  <si>
    <t>IMPERIAL ESTATES INC</t>
  </si>
  <si>
    <t>JEFFERY STEWART CORP</t>
  </si>
  <si>
    <t>LAKE BONNET VILLAGE MHP</t>
  </si>
  <si>
    <t>LAKE PARK VILLAGE CONDO ASSOCIATION</t>
  </si>
  <si>
    <t>ORANGE BLOSSOM PARK</t>
  </si>
  <si>
    <t>PINE RIDGE PARK INC</t>
  </si>
  <si>
    <t>REGULAR BAPTIST FELLOWSHIP, INC.</t>
  </si>
  <si>
    <t>TROPICAL HARBOR MOBILE HOME ESTATES</t>
  </si>
  <si>
    <t>ASTIN STRAWBERRY PROPERTY MANAGEMENT, LLC</t>
  </si>
  <si>
    <t>BAY POINTE UTILITIES,  INC.</t>
  </si>
  <si>
    <t>BRIARWOOD MOBILE HOME PARK</t>
  </si>
  <si>
    <t>CASA VERDE MHC, LLC</t>
  </si>
  <si>
    <t>CAX LAKESHORE VILLAS</t>
  </si>
  <si>
    <t>CHULA VISTA MHP</t>
  </si>
  <si>
    <t>EASTFIELD SLOPE CONDO</t>
  </si>
  <si>
    <t>FDJJ</t>
  </si>
  <si>
    <t>HIDEAWAY PARTNERS</t>
  </si>
  <si>
    <t>HOMETOWN LITTLE MANATEE SPRINGS</t>
  </si>
  <si>
    <t>NEPTUNE MOBILE VILLAGE</t>
  </si>
  <si>
    <t>PARK VILLAGE HOA OF RUSKIN</t>
  </si>
  <si>
    <t>PARKWOOD ESTATES MOBILE HOME PARK</t>
  </si>
  <si>
    <t>PLANT PROPERTIES CORORATION</t>
  </si>
  <si>
    <t>RIVER PALM RV RESORT</t>
  </si>
  <si>
    <t>SETTLERS REST RV PARK</t>
  </si>
  <si>
    <t>SOUTHERN AIRE MOBILE HOME PARK</t>
  </si>
  <si>
    <t>SPANISH MAIN RV RESORT</t>
  </si>
  <si>
    <t>STONEBRIDGE MHP</t>
  </si>
  <si>
    <t>SUNSET MANOR</t>
  </si>
  <si>
    <t>TB TAMPA BAY LLC DBA CITRUS KNOLL MHP</t>
  </si>
  <si>
    <t>UNIVERSITY CROSSING APARTMENTS</t>
  </si>
  <si>
    <t>WOODLAND ACRES</t>
  </si>
  <si>
    <t>ERS SARASOTA</t>
  </si>
  <si>
    <t>HUTCH HOLDINGS, LLC</t>
  </si>
  <si>
    <t>MANATEE COUNTY UTILITIES DEPARTMENT</t>
  </si>
  <si>
    <t>PINES TRAILER PARK</t>
  </si>
  <si>
    <t>DOGWOOD ACRES MHP</t>
  </si>
  <si>
    <t>FALLS OF OCALA HOA</t>
  </si>
  <si>
    <t>KUNAL II, LLC</t>
  </si>
  <si>
    <t>MHP OCALA AIR, LLC</t>
  </si>
  <si>
    <t>OCALA SUN RV RESORT LLC</t>
  </si>
  <si>
    <t>ARI LAND</t>
  </si>
  <si>
    <t>BAKER ACRES</t>
  </si>
  <si>
    <t>COUNTRY-AIRE</t>
  </si>
  <si>
    <t>HEILER FAMILY LIMITED PARTNERSHIP</t>
  </si>
  <si>
    <t>HOLIDAY SPRINGS RV PARK</t>
  </si>
  <si>
    <t>LAND O LAKES VILLAGE APARTMENTS</t>
  </si>
  <si>
    <t>LEMB</t>
  </si>
  <si>
    <t>ORANGELAND UTILITIES</t>
  </si>
  <si>
    <t>PILA &amp; PILA INC</t>
  </si>
  <si>
    <t>RAMBLEWOOD MOBILE HOME COMMUNITY</t>
  </si>
  <si>
    <t>SUNBURST RV PARK</t>
  </si>
  <si>
    <t>TIMBER LAKE ESTATES</t>
  </si>
  <si>
    <t>SOUTHERN COMFORT MOBILEHOME PARK</t>
  </si>
  <si>
    <t>CAMP INN RESORT</t>
  </si>
  <si>
    <t>CHRISTMAS TREE TRAILER PARK</t>
  </si>
  <si>
    <t>DOANS MOBILE HOME PARK</t>
  </si>
  <si>
    <t>FLORIDA CAMP INN</t>
  </si>
  <si>
    <t>GOOD LIFE RESORT INC</t>
  </si>
  <si>
    <t>GRANDCHILDRENS SCHOOL FUN TRUST</t>
  </si>
  <si>
    <t>HANOVER JORDANS GROVE, LLC</t>
  </si>
  <si>
    <t>HIDDEN COVE LTD</t>
  </si>
  <si>
    <t>HOLIDAY TRAVEL PARK</t>
  </si>
  <si>
    <t>LA CASA DE LAKE WALES ASSOCIATION</t>
  </si>
  <si>
    <t>LAKESIDE RANCH</t>
  </si>
  <si>
    <t>MCLEOD GARDENS UTILITIES LLC</t>
  </si>
  <si>
    <t>NORTH POINTE HOA</t>
  </si>
  <si>
    <t>ORANGE ACRES RANCH</t>
  </si>
  <si>
    <t>PINE RIDGE ESTATES</t>
  </si>
  <si>
    <t>PINECREST UTILITIES, LLC</t>
  </si>
  <si>
    <t>RAINBOW CHASE RV RESORT</t>
  </si>
  <si>
    <t>ROBERT W MONK AND CARRIE MONK</t>
  </si>
  <si>
    <t>SUNSHINE FOUNDATION</t>
  </si>
  <si>
    <t>TOWERWOOD MOBILE HOME PARK</t>
  </si>
  <si>
    <t>TWIN FOUNTAINS</t>
  </si>
  <si>
    <t>WEST VILLAS INC</t>
  </si>
  <si>
    <t>WOODLAND LAKES MHP</t>
  </si>
  <si>
    <t>Blue Goose Utility Company, LLC</t>
  </si>
  <si>
    <t>JUMPER CREEK HOA</t>
  </si>
  <si>
    <t>SOUTHERN VILLAS RV PARK</t>
  </si>
  <si>
    <t>Total Dwelling Units Served</t>
  </si>
  <si>
    <t xml:space="preserve">Last revised:  </t>
  </si>
  <si>
    <t>WUPNUM</t>
  </si>
  <si>
    <t>UtilityName</t>
  </si>
  <si>
    <t>Planning</t>
  </si>
  <si>
    <t>GASPARILLA ISLAND WATER ASSOCIATION, INC.</t>
  </si>
  <si>
    <t>Southern</t>
  </si>
  <si>
    <t>CITY OF PUNTA GORDA</t>
  </si>
  <si>
    <t>CHARLOTTE HARBOR WATER ASSOCIATION</t>
  </si>
  <si>
    <t>CHARLOTTE CO BOCC</t>
  </si>
  <si>
    <t>ISLAND HARBOR BCH CLB LTD &amp; CHAR HARBOR LAND CO &amp; KNIGHT ISLAND</t>
  </si>
  <si>
    <t>NA</t>
  </si>
  <si>
    <t>Northern</t>
  </si>
  <si>
    <t>FLORAL CITY WATER ASSOCIATION INC</t>
  </si>
  <si>
    <t>CITRUS COUNTY WRD</t>
  </si>
  <si>
    <t>ROLLING OAKS UTILITIES INC</t>
  </si>
  <si>
    <t>GULF HIGHWAY LAND CORPORATION</t>
  </si>
  <si>
    <t>CITRUS COUNTY &amp; WITHLACOOCHEE REGIONAL WATER SUPPLY AUTH</t>
  </si>
  <si>
    <t>GCP WALDEN WOODS ONE, LLC AND GCP WALDEN WOODS TWO, LLC</t>
  </si>
  <si>
    <t>ARCADIA WTP</t>
  </si>
  <si>
    <t>PEACE RIVER MANASOTA REGIONAL WATER SUPPLY AUTHORITY</t>
  </si>
  <si>
    <t>DESOTO COUNTY UTILITIES</t>
  </si>
  <si>
    <t>CITY OF BOWLING GREEN MUNICIPAL WATER SYSTEM</t>
  </si>
  <si>
    <t>Heartland</t>
  </si>
  <si>
    <t>HARDEE COUNTY BOCC</t>
  </si>
  <si>
    <t>HERNANDO CO UTILITIES DEPT</t>
  </si>
  <si>
    <t>AQUA UTILITIES FLORIDA INCORPORATED</t>
  </si>
  <si>
    <t>COUNTRY CLUB UTILITIES INC</t>
  </si>
  <si>
    <t>SEBRING 365, LLC</t>
  </si>
  <si>
    <t>LP UTILITIES CORPORATION</t>
  </si>
  <si>
    <t>SUN N LAKE OF SEBRING IMPR DIST</t>
  </si>
  <si>
    <t>CITY OF TEMPLE TERRACE DEPT OF PUBLIC WORKS</t>
  </si>
  <si>
    <t>Tampa Bay</t>
  </si>
  <si>
    <t>CITY OF PLANT CITY, ATTN: GREGORY HORWEDEL, CITY MANAGER</t>
  </si>
  <si>
    <t>DAVPAM MOBILE HOME ASSOC. LLC</t>
  </si>
  <si>
    <t>PLURIS EASTLAKE LLC</t>
  </si>
  <si>
    <t>WILDER CORPORATION C/O COLBY WILDER OR DEBBY REESE</t>
  </si>
  <si>
    <t>TAMPA BAY WATER</t>
  </si>
  <si>
    <t>MHC THE MEADOWS AT COUNTRYWOOD LLC</t>
  </si>
  <si>
    <t>MALCO INDUSTRIES</t>
  </si>
  <si>
    <t>PARADISE VILLAGE MHC, LLC</t>
  </si>
  <si>
    <t>WINDEMERE UTILITY COMPANY, ATTN: BOB KRATZ</t>
  </si>
  <si>
    <t>PLURIS PCU, INC.</t>
  </si>
  <si>
    <t>HILLSBOROUGH COUNTY BOCC, ATTN. PAUL VANDERPLOOG</t>
  </si>
  <si>
    <t>CITY OF BRADENTON</t>
  </si>
  <si>
    <t>CITY OF PALMETTO</t>
  </si>
  <si>
    <t>MARION UTILITIES INC</t>
  </si>
  <si>
    <t>UTILITIES INC OF FLORIDA, ATTN: PATRICK FLYNN</t>
  </si>
  <si>
    <t>MARION CO UTILITIES DEPT</t>
  </si>
  <si>
    <t>SUN COMMUNITIES OPERATING LP C/O MARC BENOIT</t>
  </si>
  <si>
    <t>CENTURY FAIRFIELD VILLAGE LTD</t>
  </si>
  <si>
    <t>ASSOCIATION OF MARION LANDING OWNERS, INC</t>
  </si>
  <si>
    <t>MARION UTILITIES INC &amp; SPRUCE CREEK DEVELOPMENT COMPANY</t>
  </si>
  <si>
    <t>WINDSTREAM UTILITIES COMPANY</t>
  </si>
  <si>
    <t>C S WATER COMPANY INC.</t>
  </si>
  <si>
    <t>ORANGEWOOD LAKES MOBILE HOME COMMUNITY INC</t>
  </si>
  <si>
    <t>FGUA PALM TERRACE</t>
  </si>
  <si>
    <t>HUDSON WATER WORKS INC</t>
  </si>
  <si>
    <t>L W V UTILITIES INC</t>
  </si>
  <si>
    <t>PASCO CO UTILITIES</t>
  </si>
  <si>
    <t>CITY OF CLEARWATER/ATTN: GREG TURMAN</t>
  </si>
  <si>
    <t>PINELLAS COUNTY</t>
  </si>
  <si>
    <t>LAKE REGION MOBILE HOME OWNERS INC</t>
  </si>
  <si>
    <t>FOUR LAKES GOLF CLUB LTD C/O LARRY MAXWELL CEO</t>
  </si>
  <si>
    <t>ORCHID SPRINGS DEVELOPMENT CORP</t>
  </si>
  <si>
    <t>CROOKED LAKE PARK WATER COMPANY</t>
  </si>
  <si>
    <t>CITY OF LAKELAND WATER UTILITIES WATER ADMINISTRATION</t>
  </si>
  <si>
    <t>GRENELEFE RESORT LLC</t>
  </si>
  <si>
    <t>TOWN OF DUNDEE PUBLIC WORKS DEPT</t>
  </si>
  <si>
    <t>SADDLEBAG LAKE OWNERS ASSOCIATION INC.</t>
  </si>
  <si>
    <t>POLK CO BOCC UTIL. DIVISION</t>
  </si>
  <si>
    <t>CHC VII LTD CENTURY REALTY FUND</t>
  </si>
  <si>
    <t>CAREFREE RV COUNTRY CLUB OF WINTER HAVEN INC</t>
  </si>
  <si>
    <t>S V UTILITIES LTD</t>
  </si>
  <si>
    <t>PLANTATION LANDINGS LTD</t>
  </si>
  <si>
    <t>SWEETWATER COMMUNITY INC</t>
  </si>
  <si>
    <t>POLK COUNTY BOCC/UTILITIES DIV.</t>
  </si>
  <si>
    <t>JORDANS GROVE LLC</t>
  </si>
  <si>
    <t>ALAFIA PRESERVE LLC, EAGLE RIDGE LLC, AND DONALDSON KNOLL LLC</t>
  </si>
  <si>
    <t>CYPRESS LAKES UTILITIES INC</t>
  </si>
  <si>
    <t>CITY OF SARSOTA PUBLIC WORKS</t>
  </si>
  <si>
    <t>CAMELOT COMMUNITIES MHP, LLC</t>
  </si>
  <si>
    <t xml:space="preserve">ROYALTY RESORT CORPORATION </t>
  </si>
  <si>
    <t>SARASOTA COUNTY BOARD OF COUNTY COMMISSIONERS</t>
  </si>
  <si>
    <t>PALMER ENTERPRISES</t>
  </si>
  <si>
    <t>LAKE PANASOFFKEE WATER ASSOC INC</t>
  </si>
  <si>
    <t>CONTINENTAL COUNTRY CLUB RD INC</t>
  </si>
  <si>
    <t>CEDAR ACRES, INC.</t>
  </si>
  <si>
    <t>CITY OF WILDWOOD CITY MNG</t>
  </si>
  <si>
    <t>THE VILLAGES OF MARION &amp; SUMTER</t>
  </si>
  <si>
    <t>WILDWOOD CCC</t>
  </si>
  <si>
    <t>Population Served (A-1)</t>
  </si>
  <si>
    <t>PERMIT</t>
  </si>
  <si>
    <t>PERMITTEE</t>
  </si>
  <si>
    <t>EWU</t>
  </si>
  <si>
    <t>#</t>
  </si>
  <si>
    <t>NAME(S)</t>
  </si>
  <si>
    <t>-</t>
  </si>
  <si>
    <t>N/A</t>
  </si>
  <si>
    <t>WUP_PERMIT_NBR</t>
  </si>
  <si>
    <t>UTILITYNAME</t>
  </si>
  <si>
    <t>2024 Rooms</t>
  </si>
  <si>
    <t>CITY OF OCALA DEPT. OF WATER &amp; SEWER</t>
  </si>
  <si>
    <t>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</si>
</sst>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(* #,##0.00_);_(* \(#,##0.00\);_(* &quot;-&quot;??_);_(@_)"/>
    <numFmt numFmtId="164" formatCode="0.000"/>
    <numFmt numFmtId="165" formatCode="0.0"/>
    <numFmt numFmtId="166" formatCode="0.0000"/>
    <numFmt numFmtId="167" formatCode="[&lt;0.0001]&quot;&lt;0.0001&quot;;0.0000"/>
    <numFmt numFmtId="168" formatCode="&quot;to &quot;0.0000;&quot;to &quot;\-0.0000;&quot;to 0&quot;"/>
    <numFmt numFmtId="169" formatCode="_(#,##0_);_(\-#,##0_)"/>
    <numFmt numFmtId="170" formatCode="&quot;$&quot;#,##0\ ;\(&quot;$&quot;#,##0\)"/>
    <numFmt numFmtId="171" formatCode="#,##0.000"/>
    <numFmt numFmtId="172" formatCode="m/d/yy;@"/>
    <numFmt numFmtId="173" formatCode="_(* #,##0_);_(* \(#,##0\);_(* &quot;-&quot;??_);_(@_)"/>
    <numFmt numFmtId="174" formatCode="[$-409]mmmm\ d\,\ yyyy;@"/>
  </numFmts>
  <fonts count="70" x14ac:knownFonts="1">
    <font>
      <sz val="11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9"/>
      <name val="Arial"/>
      <family val="2"/>
    </font>
    <font>
      <sz val="1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9"/>
      <color indexed="18"/>
      <name val="Arial"/>
      <family val="2"/>
    </font>
    <font>
      <b/>
      <sz val="9"/>
      <color indexed="8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7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b/>
      <sz val="11"/>
      <color indexed="10"/>
      <name val="Arial"/>
      <family val="2"/>
    </font>
    <font>
      <b/>
      <sz val="11"/>
      <color indexed="9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0"/>
      <color indexed="15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sz val="11"/>
      <color theme="1"/>
      <name val="Arial"/>
      <family val="2"/>
    </font>
    <font>
      <sz val="11"/>
      <color theme="4" tint="-0.249977111117893"/>
      <name val="Arial"/>
      <family val="2"/>
    </font>
    <font>
      <b/>
      <sz val="14"/>
      <color theme="1"/>
      <name val="Calibri"/>
      <family val="2"/>
      <scheme val="minor"/>
    </font>
    <font>
      <b/>
      <sz val="16"/>
      <color rgb="FFFF0000"/>
      <name val="Arial"/>
      <family val="2"/>
    </font>
    <font>
      <b/>
      <sz val="16"/>
      <color theme="1"/>
      <name val="Arial"/>
      <family val="2"/>
    </font>
    <font>
      <b/>
      <sz val="8"/>
      <name val="Arial"/>
      <family val="2"/>
    </font>
    <font>
      <sz val="12"/>
      <color theme="1"/>
      <name val="Arial"/>
      <family val="2"/>
    </font>
    <font>
      <sz val="12"/>
      <color indexed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sz val="11"/>
      <color theme="3" tint="0.39997558519241921"/>
      <name val="Arial"/>
      <family val="2"/>
    </font>
    <font>
      <sz val="11"/>
      <color theme="1"/>
      <name val="Cambria"/>
      <family val="2"/>
    </font>
    <font>
      <b/>
      <sz val="1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  <scheme val="minor"/>
    </font>
    <font>
      <sz val="11"/>
      <color rgb="FF9C650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FF0000"/>
      <name val="Arial"/>
      <family val="2"/>
    </font>
    <font>
      <sz val="12"/>
      <name val="Aptos Narrow"/>
      <family val="2"/>
    </font>
    <font>
      <b/>
      <sz val="11"/>
      <color rgb="FF000000"/>
      <name val="Aptos Narrow"/>
      <family val="2"/>
    </font>
    <font>
      <sz val="11"/>
      <color rgb="FF000000"/>
      <name val="Aptos Narrow"/>
      <family val="2"/>
    </font>
    <font>
      <sz val="11"/>
      <color rgb="FFFF0000"/>
      <name val="Aptos Narrow"/>
      <family val="2"/>
    </font>
    <font>
      <b/>
      <sz val="11"/>
      <name val="Aptos Narrow"/>
      <family val="2"/>
    </font>
    <font>
      <sz val="11"/>
      <name val="Aptos Narrow"/>
      <family val="2"/>
    </font>
  </fonts>
  <fills count="3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17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5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EAEAEA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</patternFill>
    </fill>
    <fill>
      <patternFill patternType="solid">
        <fgColor rgb="FFD0D0D0"/>
        <bgColor rgb="FF000000"/>
      </patternFill>
    </fill>
  </fills>
  <borders count="5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medium">
        <color indexed="8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Dashed">
        <color indexed="64"/>
      </left>
      <right/>
      <top style="mediumDashed">
        <color indexed="64"/>
      </top>
      <bottom style="mediumDashed">
        <color indexed="64"/>
      </bottom>
      <diagonal/>
    </border>
    <border>
      <left/>
      <right/>
      <top style="mediumDashed">
        <color indexed="64"/>
      </top>
      <bottom style="mediumDashed">
        <color indexed="64"/>
      </bottom>
      <diagonal/>
    </border>
    <border>
      <left/>
      <right style="mediumDashed">
        <color indexed="64"/>
      </right>
      <top style="mediumDashed">
        <color indexed="64"/>
      </top>
      <bottom style="mediumDashed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Dashed">
        <color indexed="64"/>
      </left>
      <right style="thin">
        <color indexed="64"/>
      </right>
      <top style="mediumDashed">
        <color indexed="64"/>
      </top>
      <bottom style="mediumDashed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50">
    <xf numFmtId="0" fontId="0" fillId="0" borderId="0"/>
    <xf numFmtId="165" fontId="4" fillId="0" borderId="0" applyFont="0" applyFill="0" applyBorder="0" applyProtection="0">
      <alignment horizontal="right"/>
    </xf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164" fontId="4" fillId="0" borderId="0" applyFont="0" applyFill="0" applyBorder="0" applyProtection="0">
      <alignment horizontal="right"/>
    </xf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166" fontId="4" fillId="0" borderId="0" applyFont="0" applyFill="0" applyBorder="0" applyProtection="0">
      <alignment horizontal="right"/>
    </xf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1" applyNumberFormat="0" applyAlignment="0" applyProtection="0"/>
    <xf numFmtId="0" fontId="12" fillId="21" borderId="2" applyNumberFormat="0" applyAlignment="0" applyProtection="0"/>
    <xf numFmtId="166" fontId="13" fillId="0" borderId="0" applyFont="0" applyFill="0" applyBorder="0" applyProtection="0">
      <alignment horizontal="right"/>
    </xf>
    <xf numFmtId="168" fontId="13" fillId="0" borderId="0" applyFont="0" applyFill="0" applyBorder="0" applyProtection="0">
      <alignment horizontal="left"/>
    </xf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15" fillId="0" borderId="0" applyNumberFormat="0" applyFill="0" applyBorder="0" applyAlignment="0" applyProtection="0"/>
    <xf numFmtId="2" fontId="4" fillId="0" borderId="0" applyFont="0" applyFill="0" applyBorder="0" applyAlignment="0" applyProtection="0"/>
    <xf numFmtId="0" fontId="4" fillId="0" borderId="0" applyFont="0" applyFill="0" applyBorder="0" applyProtection="0">
      <alignment horizontal="right"/>
    </xf>
    <xf numFmtId="0" fontId="16" fillId="4" borderId="0" applyNumberFormat="0" applyBorder="0" applyAlignment="0" applyProtection="0"/>
    <xf numFmtId="0" fontId="17" fillId="22" borderId="3" applyProtection="0">
      <alignment horizontal="right"/>
    </xf>
    <xf numFmtId="0" fontId="18" fillId="22" borderId="0" applyProtection="0">
      <alignment horizontal="left"/>
    </xf>
    <xf numFmtId="0" fontId="19" fillId="0" borderId="4" applyNumberFormat="0" applyFill="0" applyAlignment="0" applyProtection="0"/>
    <xf numFmtId="0" fontId="20" fillId="0" borderId="5" applyNumberFormat="0" applyFill="0" applyAlignment="0" applyProtection="0"/>
    <xf numFmtId="0" fontId="21" fillId="0" borderId="6" applyNumberFormat="0" applyFill="0" applyAlignment="0" applyProtection="0"/>
    <xf numFmtId="0" fontId="21" fillId="0" borderId="0" applyNumberFormat="0" applyFill="0" applyBorder="0" applyAlignment="0" applyProtection="0"/>
    <xf numFmtId="0" fontId="22" fillId="0" borderId="0" applyFill="0" applyBorder="0" applyProtection="0">
      <alignment horizontal="left"/>
    </xf>
    <xf numFmtId="0" fontId="23" fillId="7" borderId="1" applyNumberFormat="0" applyAlignment="0" applyProtection="0"/>
    <xf numFmtId="0" fontId="17" fillId="0" borderId="7" applyProtection="0">
      <alignment horizontal="right"/>
    </xf>
    <xf numFmtId="0" fontId="17" fillId="0" borderId="3" applyProtection="0">
      <alignment horizontal="right"/>
    </xf>
    <xf numFmtId="0" fontId="17" fillId="0" borderId="8" applyProtection="0">
      <alignment horizontal="center"/>
      <protection locked="0"/>
    </xf>
    <xf numFmtId="0" fontId="24" fillId="0" borderId="9" applyNumberFormat="0" applyFill="0" applyAlignment="0" applyProtection="0"/>
    <xf numFmtId="1" fontId="4" fillId="0" borderId="0" applyFont="0" applyFill="0" applyBorder="0" applyProtection="0">
      <alignment horizontal="right"/>
    </xf>
    <xf numFmtId="0" fontId="25" fillId="23" borderId="0" applyNumberFormat="0" applyBorder="0" applyAlignment="0" applyProtection="0"/>
    <xf numFmtId="0" fontId="43" fillId="0" borderId="0"/>
    <xf numFmtId="0" fontId="36" fillId="0" borderId="0"/>
    <xf numFmtId="0" fontId="43" fillId="0" borderId="0"/>
    <xf numFmtId="0" fontId="39" fillId="0" borderId="0"/>
    <xf numFmtId="0" fontId="30" fillId="0" borderId="0"/>
    <xf numFmtId="0" fontId="43" fillId="0" borderId="0"/>
    <xf numFmtId="0" fontId="30" fillId="0" borderId="0"/>
    <xf numFmtId="0" fontId="31" fillId="0" borderId="0"/>
    <xf numFmtId="0" fontId="4" fillId="0" borderId="0"/>
    <xf numFmtId="0" fontId="32" fillId="0" borderId="0"/>
    <xf numFmtId="0" fontId="4" fillId="0" borderId="0"/>
    <xf numFmtId="0" fontId="36" fillId="0" borderId="0"/>
    <xf numFmtId="0" fontId="43" fillId="0" borderId="0"/>
    <xf numFmtId="0" fontId="43" fillId="0" borderId="0"/>
    <xf numFmtId="0" fontId="3" fillId="0" borderId="0"/>
    <xf numFmtId="0" fontId="14" fillId="24" borderId="10" applyNumberFormat="0" applyFont="0" applyAlignment="0" applyProtection="0"/>
    <xf numFmtId="0" fontId="26" fillId="20" borderId="11" applyNumberFormat="0" applyAlignment="0" applyProtection="0"/>
    <xf numFmtId="167" fontId="4" fillId="0" borderId="0" applyFont="0" applyFill="0" applyBorder="0" applyProtection="0">
      <alignment horizontal="right"/>
    </xf>
    <xf numFmtId="169" fontId="4" fillId="0" borderId="12" applyFill="0" applyAlignment="0" applyProtection="0"/>
    <xf numFmtId="169" fontId="4" fillId="0" borderId="13" applyFont="0" applyFill="0" applyAlignment="0" applyProtection="0"/>
    <xf numFmtId="0" fontId="35" fillId="25" borderId="10" applyNumberFormat="0" applyAlignment="0" applyProtection="0"/>
    <xf numFmtId="0" fontId="7" fillId="26" borderId="12" applyNumberFormat="0" applyProtection="0">
      <alignment horizontal="right"/>
    </xf>
    <xf numFmtId="0" fontId="27" fillId="0" borderId="0" applyNumberFormat="0" applyFill="0" applyBorder="0" applyAlignment="0" applyProtection="0"/>
    <xf numFmtId="0" fontId="28" fillId="0" borderId="14" applyNumberFormat="0" applyFill="0" applyAlignment="0" applyProtection="0"/>
    <xf numFmtId="0" fontId="29" fillId="0" borderId="0" applyNumberFormat="0" applyFill="0" applyBorder="0" applyAlignment="0" applyProtection="0"/>
    <xf numFmtId="0" fontId="3" fillId="0" borderId="0"/>
    <xf numFmtId="0" fontId="4" fillId="0" borderId="0"/>
    <xf numFmtId="0" fontId="4" fillId="0" borderId="0"/>
    <xf numFmtId="0" fontId="2" fillId="0" borderId="0"/>
    <xf numFmtId="43" fontId="55" fillId="0" borderId="0" applyFont="0" applyFill="0" applyBorder="0" applyAlignment="0" applyProtection="0"/>
    <xf numFmtId="0" fontId="1" fillId="0" borderId="0"/>
    <xf numFmtId="0" fontId="4" fillId="0" borderId="0"/>
    <xf numFmtId="0" fontId="57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3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2" fontId="4" fillId="0" borderId="0" applyFont="0" applyFill="0" applyBorder="0" applyAlignment="0" applyProtection="0"/>
    <xf numFmtId="0" fontId="58" fillId="0" borderId="0" applyNumberFormat="0" applyFont="0" applyFill="0" applyAlignment="0" applyProtection="0"/>
    <xf numFmtId="0" fontId="58" fillId="0" borderId="0" applyNumberFormat="0" applyFont="0" applyFill="0" applyAlignment="0" applyProtection="0"/>
    <xf numFmtId="0" fontId="58" fillId="0" borderId="0" applyNumberFormat="0" applyFont="0" applyFill="0" applyAlignment="0" applyProtection="0"/>
    <xf numFmtId="0" fontId="37" fillId="0" borderId="0" applyNumberFormat="0" applyFont="0" applyFill="0" applyAlignment="0" applyProtection="0"/>
    <xf numFmtId="0" fontId="37" fillId="0" borderId="0" applyNumberFormat="0" applyFont="0" applyFill="0" applyAlignment="0" applyProtection="0"/>
    <xf numFmtId="0" fontId="37" fillId="0" borderId="0" applyNumberFormat="0" applyFont="0" applyFill="0" applyAlignment="0" applyProtection="0"/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59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4" fillId="0" borderId="0"/>
    <xf numFmtId="0" fontId="4" fillId="0" borderId="0"/>
    <xf numFmtId="0" fontId="1" fillId="0" borderId="0"/>
    <xf numFmtId="0" fontId="1" fillId="0" borderId="0"/>
    <xf numFmtId="0" fontId="3" fillId="0" borderId="0"/>
    <xf numFmtId="169" fontId="4" fillId="0" borderId="12" applyFill="0" applyAlignment="0" applyProtection="0"/>
    <xf numFmtId="169" fontId="4" fillId="0" borderId="13" applyFont="0" applyFill="0" applyAlignment="0" applyProtection="0"/>
    <xf numFmtId="0" fontId="35" fillId="25" borderId="10" applyNumberFormat="0" applyAlignment="0" applyProtection="0"/>
    <xf numFmtId="0" fontId="7" fillId="26" borderId="12" applyNumberFormat="0" applyProtection="0">
      <alignment horizontal="right"/>
    </xf>
    <xf numFmtId="0" fontId="4" fillId="0" borderId="51" applyNumberFormat="0" applyFont="0" applyBorder="0" applyAlignment="0" applyProtection="0"/>
    <xf numFmtId="0" fontId="4" fillId="0" borderId="51" applyNumberFormat="0" applyFont="0" applyBorder="0" applyAlignment="0" applyProtection="0"/>
    <xf numFmtId="0" fontId="4" fillId="0" borderId="51" applyNumberFormat="0" applyFont="0" applyBorder="0" applyAlignment="0" applyProtection="0"/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43" fontId="1" fillId="0" borderId="0" applyFont="0" applyFill="0" applyBorder="0" applyAlignment="0" applyProtection="0"/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60" fillId="0" borderId="0"/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61" fillId="33" borderId="0" applyNumberFormat="0" applyBorder="0" applyAlignment="0" applyProtection="0"/>
    <xf numFmtId="0" fontId="1" fillId="0" borderId="0"/>
    <xf numFmtId="169" fontId="4" fillId="0" borderId="12" applyFill="0" applyAlignment="0" applyProtection="0"/>
    <xf numFmtId="169" fontId="4" fillId="0" borderId="13" applyFont="0" applyFill="0" applyAlignment="0" applyProtection="0"/>
    <xf numFmtId="0" fontId="35" fillId="25" borderId="10" applyNumberFormat="0" applyAlignment="0" applyProtection="0"/>
    <xf numFmtId="0" fontId="7" fillId="26" borderId="12" applyNumberFormat="0" applyProtection="0">
      <alignment horizontal="right"/>
    </xf>
    <xf numFmtId="9" fontId="1" fillId="0" borderId="0" applyFont="0" applyFill="0" applyBorder="0" applyAlignment="0" applyProtection="0"/>
    <xf numFmtId="0" fontId="35" fillId="25" borderId="10" applyNumberFormat="0" applyAlignment="0" applyProtection="0"/>
    <xf numFmtId="169" fontId="4" fillId="0" borderId="13" applyFont="0" applyFill="0" applyAlignment="0" applyProtection="0"/>
    <xf numFmtId="169" fontId="4" fillId="0" borderId="12" applyFill="0" applyAlignment="0" applyProtection="0"/>
    <xf numFmtId="169" fontId="4" fillId="0" borderId="12" applyFill="0" applyAlignment="0" applyProtection="0"/>
    <xf numFmtId="0" fontId="7" fillId="26" borderId="12" applyNumberFormat="0" applyProtection="0">
      <alignment horizontal="right"/>
    </xf>
    <xf numFmtId="0" fontId="35" fillId="25" borderId="10" applyNumberFormat="0" applyAlignment="0" applyProtection="0"/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169" fontId="4" fillId="0" borderId="13" applyFont="0" applyFill="0" applyAlignment="0" applyProtection="0"/>
    <xf numFmtId="0" fontId="7" fillId="26" borderId="12" applyNumberFormat="0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169" fontId="4" fillId="0" borderId="12" applyFill="0" applyAlignment="0" applyProtection="0"/>
    <xf numFmtId="169" fontId="4" fillId="0" borderId="13" applyFont="0" applyFill="0" applyAlignment="0" applyProtection="0"/>
    <xf numFmtId="0" fontId="35" fillId="25" borderId="10" applyNumberFormat="0" applyAlignment="0" applyProtection="0"/>
    <xf numFmtId="0" fontId="7" fillId="26" borderId="12" applyNumberFormat="0" applyProtection="0">
      <alignment horizontal="right"/>
    </xf>
    <xf numFmtId="169" fontId="4" fillId="0" borderId="12" applyFill="0" applyAlignment="0" applyProtection="0"/>
    <xf numFmtId="169" fontId="4" fillId="0" borderId="13" applyFont="0" applyFill="0" applyAlignment="0" applyProtection="0"/>
    <xf numFmtId="0" fontId="35" fillId="25" borderId="10" applyNumberFormat="0" applyAlignment="0" applyProtection="0"/>
    <xf numFmtId="0" fontId="7" fillId="26" borderId="12" applyNumberFormat="0" applyProtection="0">
      <alignment horizontal="right"/>
    </xf>
    <xf numFmtId="0" fontId="62" fillId="0" borderId="0" applyNumberFormat="0" applyFill="0" applyBorder="0" applyAlignment="0" applyProtection="0">
      <alignment vertical="top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169" fontId="4" fillId="0" borderId="12" applyFill="0" applyAlignment="0" applyProtection="0"/>
    <xf numFmtId="169" fontId="4" fillId="0" borderId="13" applyFont="0" applyFill="0" applyAlignment="0" applyProtection="0"/>
    <xf numFmtId="0" fontId="35" fillId="25" borderId="10" applyNumberFormat="0" applyAlignment="0" applyProtection="0"/>
    <xf numFmtId="0" fontId="7" fillId="26" borderId="12" applyNumberFormat="0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  <xf numFmtId="0" fontId="17" fillId="0" borderId="8" applyProtection="0">
      <alignment horizontal="center"/>
      <protection locked="0"/>
    </xf>
    <xf numFmtId="0" fontId="17" fillId="0" borderId="7" applyProtection="0">
      <alignment horizontal="right"/>
    </xf>
  </cellStyleXfs>
  <cellXfs count="199">
    <xf numFmtId="0" fontId="0" fillId="0" borderId="0" xfId="0"/>
    <xf numFmtId="0" fontId="3" fillId="0" borderId="15" xfId="0" applyFont="1" applyBorder="1"/>
    <xf numFmtId="0" fontId="6" fillId="0" borderId="0" xfId="63" applyFont="1"/>
    <xf numFmtId="0" fontId="43" fillId="0" borderId="0" xfId="63"/>
    <xf numFmtId="0" fontId="34" fillId="0" borderId="0" xfId="63" applyFont="1"/>
    <xf numFmtId="0" fontId="6" fillId="0" borderId="0" xfId="63" applyFont="1" applyAlignment="1">
      <alignment horizontal="center"/>
    </xf>
    <xf numFmtId="164" fontId="6" fillId="0" borderId="0" xfId="63" applyNumberFormat="1" applyFont="1" applyAlignment="1">
      <alignment horizontal="center"/>
    </xf>
    <xf numFmtId="0" fontId="33" fillId="0" borderId="0" xfId="69" applyFont="1"/>
    <xf numFmtId="0" fontId="36" fillId="0" borderId="0" xfId="69"/>
    <xf numFmtId="0" fontId="4" fillId="0" borderId="0" xfId="69" applyFont="1"/>
    <xf numFmtId="0" fontId="7" fillId="0" borderId="0" xfId="69" applyFont="1"/>
    <xf numFmtId="0" fontId="36" fillId="0" borderId="18" xfId="69" applyBorder="1"/>
    <xf numFmtId="0" fontId="37" fillId="0" borderId="0" xfId="69" applyFont="1"/>
    <xf numFmtId="0" fontId="7" fillId="0" borderId="0" xfId="69" quotePrefix="1" applyFont="1"/>
    <xf numFmtId="0" fontId="36" fillId="0" borderId="0" xfId="69" applyAlignment="1">
      <alignment horizontal="center"/>
    </xf>
    <xf numFmtId="0" fontId="7" fillId="31" borderId="19" xfId="69" applyFont="1" applyFill="1" applyBorder="1" applyAlignment="1">
      <alignment horizontal="center"/>
    </xf>
    <xf numFmtId="3" fontId="36" fillId="28" borderId="16" xfId="69" applyNumberFormat="1" applyFill="1" applyBorder="1" applyAlignment="1">
      <alignment horizontal="center"/>
    </xf>
    <xf numFmtId="0" fontId="36" fillId="0" borderId="0" xfId="69" quotePrefix="1"/>
    <xf numFmtId="0" fontId="4" fillId="0" borderId="0" xfId="69" applyFont="1" applyAlignment="1">
      <alignment horizontal="center"/>
    </xf>
    <xf numFmtId="3" fontId="7" fillId="28" borderId="20" xfId="69" applyNumberFormat="1" applyFont="1" applyFill="1" applyBorder="1"/>
    <xf numFmtId="0" fontId="7" fillId="0" borderId="0" xfId="69" applyFont="1" applyAlignment="1">
      <alignment horizontal="center"/>
    </xf>
    <xf numFmtId="2" fontId="36" fillId="29" borderId="17" xfId="69" applyNumberFormat="1" applyFill="1" applyBorder="1" applyAlignment="1">
      <alignment horizontal="center"/>
    </xf>
    <xf numFmtId="4" fontId="7" fillId="28" borderId="20" xfId="69" applyNumberFormat="1" applyFont="1" applyFill="1" applyBorder="1"/>
    <xf numFmtId="0" fontId="36" fillId="0" borderId="21" xfId="69" applyBorder="1" applyAlignment="1">
      <alignment horizontal="center"/>
    </xf>
    <xf numFmtId="2" fontId="36" fillId="28" borderId="16" xfId="69" applyNumberFormat="1" applyFill="1" applyBorder="1" applyAlignment="1">
      <alignment horizontal="center"/>
    </xf>
    <xf numFmtId="3" fontId="36" fillId="29" borderId="17" xfId="69" applyNumberFormat="1" applyFill="1" applyBorder="1" applyAlignment="1">
      <alignment horizontal="center"/>
    </xf>
    <xf numFmtId="0" fontId="36" fillId="28" borderId="16" xfId="69" applyFill="1" applyBorder="1" applyAlignment="1">
      <alignment horizontal="center"/>
    </xf>
    <xf numFmtId="0" fontId="36" fillId="28" borderId="16" xfId="69" applyFill="1" applyBorder="1"/>
    <xf numFmtId="164" fontId="36" fillId="29" borderId="17" xfId="69" applyNumberFormat="1" applyFill="1" applyBorder="1"/>
    <xf numFmtId="0" fontId="7" fillId="31" borderId="0" xfId="69" applyFont="1" applyFill="1" applyAlignment="1">
      <alignment horizontal="center"/>
    </xf>
    <xf numFmtId="3" fontId="4" fillId="29" borderId="17" xfId="69" applyNumberFormat="1" applyFont="1" applyFill="1" applyBorder="1"/>
    <xf numFmtId="3" fontId="4" fillId="28" borderId="16" xfId="69" applyNumberFormat="1" applyFont="1" applyFill="1" applyBorder="1"/>
    <xf numFmtId="0" fontId="38" fillId="0" borderId="0" xfId="69" applyFont="1"/>
    <xf numFmtId="3" fontId="36" fillId="29" borderId="17" xfId="69" applyNumberFormat="1" applyFill="1" applyBorder="1"/>
    <xf numFmtId="3" fontId="36" fillId="28" borderId="16" xfId="69" applyNumberFormat="1" applyFill="1" applyBorder="1"/>
    <xf numFmtId="0" fontId="33" fillId="0" borderId="0" xfId="66" applyFont="1"/>
    <xf numFmtId="0" fontId="4" fillId="0" borderId="0" xfId="66"/>
    <xf numFmtId="0" fontId="7" fillId="0" borderId="0" xfId="66" applyFont="1"/>
    <xf numFmtId="0" fontId="4" fillId="0" borderId="0" xfId="66" quotePrefix="1"/>
    <xf numFmtId="0" fontId="37" fillId="0" borderId="0" xfId="66" applyFont="1"/>
    <xf numFmtId="0" fontId="7" fillId="28" borderId="22" xfId="66" applyFont="1" applyFill="1" applyBorder="1"/>
    <xf numFmtId="0" fontId="4" fillId="28" borderId="23" xfId="66" applyFill="1" applyBorder="1"/>
    <xf numFmtId="0" fontId="4" fillId="28" borderId="24" xfId="66" applyFill="1" applyBorder="1"/>
    <xf numFmtId="0" fontId="4" fillId="28" borderId="16" xfId="66" applyFill="1" applyBorder="1"/>
    <xf numFmtId="0" fontId="7" fillId="29" borderId="25" xfId="66" applyFont="1" applyFill="1" applyBorder="1"/>
    <xf numFmtId="0" fontId="4" fillId="29" borderId="26" xfId="66" applyFill="1" applyBorder="1"/>
    <xf numFmtId="0" fontId="4" fillId="29" borderId="27" xfId="66" applyFill="1" applyBorder="1"/>
    <xf numFmtId="0" fontId="37" fillId="0" borderId="0" xfId="66" quotePrefix="1" applyFont="1" applyAlignment="1">
      <alignment horizontal="center"/>
    </xf>
    <xf numFmtId="3" fontId="4" fillId="28" borderId="16" xfId="66" applyNumberFormat="1" applyFill="1" applyBorder="1"/>
    <xf numFmtId="0" fontId="4" fillId="0" borderId="0" xfId="66" applyAlignment="1">
      <alignment horizontal="center"/>
    </xf>
    <xf numFmtId="0" fontId="7" fillId="0" borderId="0" xfId="66" applyFont="1" applyAlignment="1">
      <alignment horizontal="center"/>
    </xf>
    <xf numFmtId="0" fontId="7" fillId="0" borderId="0" xfId="66" quotePrefix="1" applyFont="1" applyAlignment="1">
      <alignment horizontal="center"/>
    </xf>
    <xf numFmtId="0" fontId="4" fillId="29" borderId="25" xfId="66" applyFill="1" applyBorder="1"/>
    <xf numFmtId="3" fontId="4" fillId="29" borderId="17" xfId="66" applyNumberFormat="1" applyFill="1" applyBorder="1"/>
    <xf numFmtId="0" fontId="6" fillId="0" borderId="0" xfId="0" applyFont="1"/>
    <xf numFmtId="0" fontId="33" fillId="0" borderId="0" xfId="61" applyFont="1"/>
    <xf numFmtId="0" fontId="39" fillId="0" borderId="0" xfId="61"/>
    <xf numFmtId="0" fontId="7" fillId="0" borderId="0" xfId="61" applyFont="1"/>
    <xf numFmtId="0" fontId="7" fillId="28" borderId="28" xfId="61" applyFont="1" applyFill="1" applyBorder="1"/>
    <xf numFmtId="0" fontId="39" fillId="28" borderId="29" xfId="61" applyFill="1" applyBorder="1"/>
    <xf numFmtId="0" fontId="39" fillId="28" borderId="30" xfId="61" applyFill="1" applyBorder="1"/>
    <xf numFmtId="0" fontId="39" fillId="28" borderId="16" xfId="61" applyFill="1" applyBorder="1"/>
    <xf numFmtId="0" fontId="7" fillId="29" borderId="31" xfId="61" applyFont="1" applyFill="1" applyBorder="1"/>
    <xf numFmtId="0" fontId="39" fillId="29" borderId="26" xfId="61" applyFill="1" applyBorder="1"/>
    <xf numFmtId="0" fontId="39" fillId="29" borderId="27" xfId="61" applyFill="1" applyBorder="1"/>
    <xf numFmtId="0" fontId="39" fillId="29" borderId="17" xfId="61" applyFill="1" applyBorder="1"/>
    <xf numFmtId="0" fontId="37" fillId="0" borderId="0" xfId="61" applyFont="1"/>
    <xf numFmtId="0" fontId="4" fillId="0" borderId="0" xfId="61" applyFont="1"/>
    <xf numFmtId="0" fontId="39" fillId="28" borderId="32" xfId="61" applyFill="1" applyBorder="1"/>
    <xf numFmtId="0" fontId="39" fillId="29" borderId="25" xfId="61" applyFill="1" applyBorder="1"/>
    <xf numFmtId="0" fontId="7" fillId="28" borderId="32" xfId="61" applyFont="1" applyFill="1" applyBorder="1"/>
    <xf numFmtId="0" fontId="7" fillId="28" borderId="33" xfId="61" applyFont="1" applyFill="1" applyBorder="1"/>
    <xf numFmtId="0" fontId="39" fillId="28" borderId="33" xfId="61" applyFill="1" applyBorder="1"/>
    <xf numFmtId="0" fontId="7" fillId="29" borderId="26" xfId="61" applyFont="1" applyFill="1" applyBorder="1"/>
    <xf numFmtId="0" fontId="40" fillId="0" borderId="34" xfId="61" applyFont="1" applyBorder="1"/>
    <xf numFmtId="0" fontId="40" fillId="0" borderId="35" xfId="61" applyFont="1" applyBorder="1" applyAlignment="1">
      <alignment horizontal="center"/>
    </xf>
    <xf numFmtId="0" fontId="4" fillId="0" borderId="36" xfId="61" applyFont="1" applyBorder="1" applyAlignment="1">
      <alignment horizontal="center"/>
    </xf>
    <xf numFmtId="0" fontId="4" fillId="0" borderId="37" xfId="61" applyFont="1" applyBorder="1" applyAlignment="1">
      <alignment horizontal="center"/>
    </xf>
    <xf numFmtId="0" fontId="40" fillId="0" borderId="37" xfId="61" applyFont="1" applyBorder="1"/>
    <xf numFmtId="0" fontId="40" fillId="0" borderId="36" xfId="61" applyFont="1" applyBorder="1" applyAlignment="1">
      <alignment horizontal="center"/>
    </xf>
    <xf numFmtId="0" fontId="40" fillId="0" borderId="0" xfId="61" applyFont="1" applyAlignment="1">
      <alignment horizontal="center"/>
    </xf>
    <xf numFmtId="0" fontId="40" fillId="0" borderId="0" xfId="61" applyFont="1"/>
    <xf numFmtId="0" fontId="37" fillId="0" borderId="0" xfId="61" applyFont="1" applyAlignment="1">
      <alignment horizontal="center"/>
    </xf>
    <xf numFmtId="0" fontId="6" fillId="0" borderId="0" xfId="61" applyFont="1"/>
    <xf numFmtId="3" fontId="39" fillId="29" borderId="17" xfId="61" applyNumberFormat="1" applyFill="1" applyBorder="1"/>
    <xf numFmtId="10" fontId="39" fillId="29" borderId="17" xfId="61" applyNumberFormat="1" applyFill="1" applyBorder="1"/>
    <xf numFmtId="1" fontId="39" fillId="29" borderId="17" xfId="61" applyNumberFormat="1" applyFill="1" applyBorder="1"/>
    <xf numFmtId="2" fontId="39" fillId="29" borderId="17" xfId="61" applyNumberFormat="1" applyFill="1" applyBorder="1"/>
    <xf numFmtId="0" fontId="3" fillId="0" borderId="0" xfId="0" applyFont="1"/>
    <xf numFmtId="0" fontId="7" fillId="31" borderId="19" xfId="69" applyFont="1" applyFill="1" applyBorder="1" applyAlignment="1">
      <alignment horizontal="right"/>
    </xf>
    <xf numFmtId="3" fontId="36" fillId="0" borderId="0" xfId="69" applyNumberFormat="1" applyAlignment="1">
      <alignment horizontal="center"/>
    </xf>
    <xf numFmtId="0" fontId="7" fillId="0" borderId="0" xfId="69" applyFont="1" applyAlignment="1">
      <alignment horizontal="right"/>
    </xf>
    <xf numFmtId="0" fontId="7" fillId="31" borderId="15" xfId="69" applyFont="1" applyFill="1" applyBorder="1" applyAlignment="1">
      <alignment horizontal="left"/>
    </xf>
    <xf numFmtId="0" fontId="45" fillId="0" borderId="0" xfId="0" applyFont="1"/>
    <xf numFmtId="0" fontId="0" fillId="0" borderId="15" xfId="0" applyBorder="1"/>
    <xf numFmtId="3" fontId="0" fillId="0" borderId="15" xfId="0" applyNumberFormat="1" applyBorder="1"/>
    <xf numFmtId="15" fontId="34" fillId="0" borderId="0" xfId="63" quotePrefix="1" applyNumberFormat="1" applyFont="1"/>
    <xf numFmtId="164" fontId="3" fillId="0" borderId="15" xfId="0" applyNumberFormat="1" applyFont="1" applyBorder="1" applyAlignment="1">
      <alignment horizontal="center" vertical="center" wrapText="1"/>
    </xf>
    <xf numFmtId="0" fontId="3" fillId="0" borderId="0" xfId="66" applyFont="1"/>
    <xf numFmtId="3" fontId="3" fillId="0" borderId="0" xfId="66" applyNumberFormat="1" applyFont="1"/>
    <xf numFmtId="172" fontId="46" fillId="0" borderId="0" xfId="83" applyNumberFormat="1" applyFont="1"/>
    <xf numFmtId="172" fontId="46" fillId="0" borderId="0" xfId="83" applyNumberFormat="1" applyFont="1" applyAlignment="1">
      <alignment horizontal="center"/>
    </xf>
    <xf numFmtId="14" fontId="46" fillId="0" borderId="0" xfId="83" applyNumberFormat="1" applyFont="1"/>
    <xf numFmtId="0" fontId="3" fillId="0" borderId="0" xfId="66" applyFont="1" applyAlignment="1">
      <alignment horizontal="left"/>
    </xf>
    <xf numFmtId="0" fontId="3" fillId="0" borderId="15" xfId="66" applyFont="1" applyBorder="1"/>
    <xf numFmtId="0" fontId="3" fillId="0" borderId="42" xfId="66" applyFont="1" applyBorder="1"/>
    <xf numFmtId="3" fontId="3" fillId="0" borderId="42" xfId="66" applyNumberFormat="1" applyFont="1" applyBorder="1"/>
    <xf numFmtId="0" fontId="47" fillId="0" borderId="0" xfId="83" applyFont="1"/>
    <xf numFmtId="0" fontId="47" fillId="0" borderId="0" xfId="83" applyFont="1" applyAlignment="1">
      <alignment horizontal="center"/>
    </xf>
    <xf numFmtId="0" fontId="47" fillId="0" borderId="43" xfId="83" applyFont="1" applyBorder="1" applyAlignment="1">
      <alignment horizontal="center"/>
    </xf>
    <xf numFmtId="0" fontId="48" fillId="0" borderId="0" xfId="84" applyFont="1" applyAlignment="1">
      <alignment horizontal="center"/>
    </xf>
    <xf numFmtId="3" fontId="48" fillId="0" borderId="0" xfId="84" applyNumberFormat="1" applyFont="1" applyAlignment="1">
      <alignment horizontal="center"/>
    </xf>
    <xf numFmtId="1" fontId="48" fillId="0" borderId="0" xfId="84" applyNumberFormat="1" applyFont="1" applyAlignment="1">
      <alignment horizontal="center"/>
    </xf>
    <xf numFmtId="0" fontId="40" fillId="0" borderId="0" xfId="85" applyFont="1" applyAlignment="1">
      <alignment horizontal="left"/>
    </xf>
    <xf numFmtId="0" fontId="40" fillId="0" borderId="0" xfId="85" applyFont="1" applyAlignment="1">
      <alignment horizontal="center"/>
    </xf>
    <xf numFmtId="3" fontId="40" fillId="0" borderId="0" xfId="0" applyNumberFormat="1" applyFont="1"/>
    <xf numFmtId="3" fontId="0" fillId="0" borderId="0" xfId="0" applyNumberFormat="1"/>
    <xf numFmtId="0" fontId="49" fillId="0" borderId="0" xfId="83" applyFont="1"/>
    <xf numFmtId="0" fontId="49" fillId="0" borderId="0" xfId="83" applyFont="1" applyAlignment="1">
      <alignment horizontal="center"/>
    </xf>
    <xf numFmtId="0" fontId="49" fillId="0" borderId="0" xfId="83" applyFont="1" applyAlignment="1">
      <alignment horizontal="left"/>
    </xf>
    <xf numFmtId="3" fontId="3" fillId="0" borderId="0" xfId="0" applyNumberFormat="1" applyFont="1"/>
    <xf numFmtId="0" fontId="50" fillId="0" borderId="0" xfId="85" applyFont="1" applyAlignment="1">
      <alignment horizontal="left"/>
    </xf>
    <xf numFmtId="0" fontId="0" fillId="0" borderId="0" xfId="0" applyAlignment="1">
      <alignment horizontal="center"/>
    </xf>
    <xf numFmtId="0" fontId="2" fillId="0" borderId="0" xfId="86"/>
    <xf numFmtId="0" fontId="3" fillId="0" borderId="15" xfId="0" applyFont="1" applyBorder="1" applyAlignment="1">
      <alignment horizontal="center" vertical="center" wrapText="1"/>
    </xf>
    <xf numFmtId="0" fontId="3" fillId="32" borderId="15" xfId="66" applyFont="1" applyFill="1" applyBorder="1"/>
    <xf numFmtId="0" fontId="53" fillId="0" borderId="0" xfId="0" applyFont="1"/>
    <xf numFmtId="0" fontId="54" fillId="0" borderId="0" xfId="66" applyFont="1"/>
    <xf numFmtId="173" fontId="3" fillId="0" borderId="0" xfId="87" applyNumberFormat="1" applyFont="1" applyFill="1" applyBorder="1"/>
    <xf numFmtId="164" fontId="3" fillId="0" borderId="0" xfId="0" applyNumberFormat="1" applyFont="1"/>
    <xf numFmtId="0" fontId="43" fillId="0" borderId="0" xfId="63" applyAlignment="1">
      <alignment horizontal="center"/>
    </xf>
    <xf numFmtId="0" fontId="3" fillId="0" borderId="0" xfId="0" applyFont="1" applyAlignment="1">
      <alignment horizontal="left"/>
    </xf>
    <xf numFmtId="0" fontId="56" fillId="0" borderId="0" xfId="0" applyFont="1"/>
    <xf numFmtId="0" fontId="7" fillId="31" borderId="15" xfId="69" applyFont="1" applyFill="1" applyBorder="1" applyAlignment="1">
      <alignment horizontal="center"/>
    </xf>
    <xf numFmtId="0" fontId="43" fillId="0" borderId="45" xfId="63" applyBorder="1" applyAlignment="1">
      <alignment horizontal="left"/>
    </xf>
    <xf numFmtId="0" fontId="43" fillId="0" borderId="46" xfId="63" applyBorder="1" applyAlignment="1">
      <alignment horizontal="left"/>
    </xf>
    <xf numFmtId="0" fontId="43" fillId="0" borderId="47" xfId="63" applyBorder="1" applyAlignment="1">
      <alignment horizontal="left"/>
    </xf>
    <xf numFmtId="0" fontId="1" fillId="0" borderId="0" xfId="86" applyFont="1"/>
    <xf numFmtId="172" fontId="63" fillId="0" borderId="0" xfId="83" applyNumberFormat="1" applyFont="1"/>
    <xf numFmtId="172" fontId="63" fillId="0" borderId="0" xfId="83" applyNumberFormat="1" applyFont="1" applyAlignment="1">
      <alignment horizontal="center"/>
    </xf>
    <xf numFmtId="14" fontId="63" fillId="0" borderId="0" xfId="83" applyNumberFormat="1" applyFont="1"/>
    <xf numFmtId="0" fontId="6" fillId="0" borderId="0" xfId="66" applyFont="1"/>
    <xf numFmtId="0" fontId="0" fillId="0" borderId="0" xfId="66" applyFont="1"/>
    <xf numFmtId="3" fontId="0" fillId="0" borderId="42" xfId="66" applyNumberFormat="1" applyFont="1" applyBorder="1"/>
    <xf numFmtId="0" fontId="0" fillId="0" borderId="42" xfId="66" applyFont="1" applyBorder="1"/>
    <xf numFmtId="0" fontId="0" fillId="0" borderId="15" xfId="66" applyFont="1" applyBorder="1"/>
    <xf numFmtId="173" fontId="0" fillId="0" borderId="42" xfId="66" applyNumberFormat="1" applyFont="1" applyBorder="1"/>
    <xf numFmtId="0" fontId="6" fillId="27" borderId="40" xfId="66" applyFont="1" applyFill="1" applyBorder="1" applyAlignment="1">
      <alignment horizontal="left"/>
    </xf>
    <xf numFmtId="0" fontId="6" fillId="27" borderId="41" xfId="66" applyFont="1" applyFill="1" applyBorder="1" applyAlignment="1">
      <alignment horizontal="left"/>
    </xf>
    <xf numFmtId="1" fontId="6" fillId="27" borderId="41" xfId="66" applyNumberFormat="1" applyFont="1" applyFill="1" applyBorder="1" applyAlignment="1">
      <alignment horizontal="left"/>
    </xf>
    <xf numFmtId="173" fontId="3" fillId="0" borderId="42" xfId="66" applyNumberFormat="1" applyFont="1" applyBorder="1"/>
    <xf numFmtId="173" fontId="0" fillId="0" borderId="0" xfId="87" applyNumberFormat="1" applyFont="1"/>
    <xf numFmtId="0" fontId="47" fillId="0" borderId="0" xfId="83" applyFont="1" applyAlignment="1">
      <alignment horizontal="left"/>
    </xf>
    <xf numFmtId="0" fontId="64" fillId="0" borderId="0" xfId="0" applyFont="1"/>
    <xf numFmtId="0" fontId="44" fillId="0" borderId="0" xfId="0" applyFont="1"/>
    <xf numFmtId="0" fontId="65" fillId="0" borderId="15" xfId="0" applyFont="1" applyBorder="1"/>
    <xf numFmtId="0" fontId="66" fillId="0" borderId="15" xfId="0" applyFont="1" applyBorder="1"/>
    <xf numFmtId="0" fontId="67" fillId="0" borderId="15" xfId="0" applyFont="1" applyBorder="1"/>
    <xf numFmtId="0" fontId="68" fillId="0" borderId="15" xfId="0" applyFont="1" applyBorder="1"/>
    <xf numFmtId="0" fontId="69" fillId="0" borderId="15" xfId="0" applyFont="1" applyBorder="1"/>
    <xf numFmtId="0" fontId="69" fillId="0" borderId="15" xfId="0" applyFont="1" applyBorder="1" applyAlignment="1">
      <alignment horizontal="center"/>
    </xf>
    <xf numFmtId="0" fontId="65" fillId="0" borderId="15" xfId="0" applyFont="1" applyBorder="1" applyAlignment="1">
      <alignment wrapText="1"/>
    </xf>
    <xf numFmtId="0" fontId="68" fillId="0" borderId="15" xfId="0" applyFont="1" applyBorder="1" applyAlignment="1">
      <alignment wrapText="1"/>
    </xf>
    <xf numFmtId="0" fontId="66" fillId="34" borderId="15" xfId="0" applyFont="1" applyFill="1" applyBorder="1"/>
    <xf numFmtId="0" fontId="69" fillId="34" borderId="15" xfId="0" applyFont="1" applyFill="1" applyBorder="1"/>
    <xf numFmtId="0" fontId="67" fillId="34" borderId="15" xfId="0" applyFont="1" applyFill="1" applyBorder="1"/>
    <xf numFmtId="174" fontId="68" fillId="0" borderId="15" xfId="0" applyNumberFormat="1" applyFont="1" applyBorder="1"/>
    <xf numFmtId="164" fontId="43" fillId="0" borderId="0" xfId="63" applyNumberFormat="1"/>
    <xf numFmtId="1" fontId="5" fillId="0" borderId="15" xfId="0" applyNumberFormat="1" applyFont="1" applyBorder="1" applyAlignment="1">
      <alignment horizontal="left"/>
    </xf>
    <xf numFmtId="3" fontId="5" fillId="0" borderId="15" xfId="0" applyNumberFormat="1" applyFont="1" applyBorder="1" applyAlignment="1">
      <alignment horizontal="left"/>
    </xf>
    <xf numFmtId="3" fontId="5" fillId="0" borderId="44" xfId="0" applyNumberFormat="1" applyFont="1" applyBorder="1" applyAlignment="1">
      <alignment horizontal="left"/>
    </xf>
    <xf numFmtId="3" fontId="5" fillId="0" borderId="48" xfId="0" applyNumberFormat="1" applyFont="1" applyBorder="1" applyAlignment="1">
      <alignment horizontal="left"/>
    </xf>
    <xf numFmtId="3" fontId="5" fillId="0" borderId="49" xfId="0" applyNumberFormat="1" applyFont="1" applyBorder="1" applyAlignment="1">
      <alignment horizontal="left"/>
    </xf>
    <xf numFmtId="3" fontId="5" fillId="0" borderId="50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3" fontId="3" fillId="0" borderId="15" xfId="0" applyNumberFormat="1" applyFont="1" applyBorder="1"/>
    <xf numFmtId="4" fontId="3" fillId="0" borderId="15" xfId="0" applyNumberFormat="1" applyFont="1" applyBorder="1"/>
    <xf numFmtId="171" fontId="3" fillId="0" borderId="15" xfId="0" applyNumberFormat="1" applyFont="1" applyBorder="1"/>
    <xf numFmtId="3" fontId="3" fillId="0" borderId="42" xfId="0" applyNumberFormat="1" applyFont="1" applyBorder="1"/>
    <xf numFmtId="0" fontId="39" fillId="0" borderId="0" xfId="61" applyAlignment="1">
      <alignment horizontal="center"/>
    </xf>
    <xf numFmtId="0" fontId="7" fillId="0" borderId="0" xfId="61" applyFont="1" applyAlignment="1">
      <alignment horizontal="center"/>
    </xf>
    <xf numFmtId="14" fontId="44" fillId="0" borderId="0" xfId="0" applyNumberFormat="1" applyFont="1"/>
    <xf numFmtId="0" fontId="44" fillId="0" borderId="0" xfId="0" applyFont="1"/>
    <xf numFmtId="0" fontId="36" fillId="28" borderId="44" xfId="69" applyFill="1" applyBorder="1" applyAlignment="1">
      <alignment horizontal="left"/>
    </xf>
    <xf numFmtId="0" fontId="36" fillId="28" borderId="52" xfId="69" applyFill="1" applyBorder="1" applyAlignment="1">
      <alignment horizontal="left"/>
    </xf>
    <xf numFmtId="0" fontId="36" fillId="28" borderId="53" xfId="69" applyFill="1" applyBorder="1" applyAlignment="1">
      <alignment horizontal="left"/>
    </xf>
    <xf numFmtId="0" fontId="36" fillId="29" borderId="44" xfId="69" applyFill="1" applyBorder="1" applyAlignment="1">
      <alignment horizontal="left"/>
    </xf>
    <xf numFmtId="0" fontId="36" fillId="29" borderId="52" xfId="69" applyFill="1" applyBorder="1" applyAlignment="1">
      <alignment horizontal="left"/>
    </xf>
    <xf numFmtId="0" fontId="36" fillId="29" borderId="53" xfId="69" applyFill="1" applyBorder="1" applyAlignment="1">
      <alignment horizontal="left"/>
    </xf>
    <xf numFmtId="0" fontId="36" fillId="30" borderId="44" xfId="69" applyFill="1" applyBorder="1" applyAlignment="1">
      <alignment horizontal="left"/>
    </xf>
    <xf numFmtId="0" fontId="36" fillId="30" borderId="52" xfId="69" applyFill="1" applyBorder="1" applyAlignment="1">
      <alignment horizontal="left"/>
    </xf>
    <xf numFmtId="0" fontId="36" fillId="30" borderId="53" xfId="69" applyFill="1" applyBorder="1" applyAlignment="1">
      <alignment horizontal="left"/>
    </xf>
    <xf numFmtId="0" fontId="39" fillId="0" borderId="0" xfId="61" applyAlignment="1">
      <alignment horizontal="center"/>
    </xf>
    <xf numFmtId="0" fontId="7" fillId="0" borderId="0" xfId="61" applyFont="1" applyAlignment="1">
      <alignment horizontal="center"/>
    </xf>
    <xf numFmtId="0" fontId="39" fillId="28" borderId="32" xfId="61" applyFill="1" applyBorder="1" applyAlignment="1">
      <alignment horizontal="center"/>
    </xf>
    <xf numFmtId="0" fontId="39" fillId="28" borderId="33" xfId="61" applyFill="1" applyBorder="1" applyAlignment="1">
      <alignment horizontal="center"/>
    </xf>
    <xf numFmtId="0" fontId="39" fillId="28" borderId="38" xfId="61" applyFill="1" applyBorder="1" applyAlignment="1">
      <alignment horizontal="center"/>
    </xf>
    <xf numFmtId="0" fontId="40" fillId="0" borderId="34" xfId="61" applyFont="1" applyBorder="1" applyAlignment="1">
      <alignment horizontal="center"/>
    </xf>
    <xf numFmtId="0" fontId="40" fillId="0" borderId="39" xfId="61" applyFont="1" applyBorder="1" applyAlignment="1">
      <alignment horizontal="center"/>
    </xf>
  </cellXfs>
  <cellStyles count="550">
    <cellStyle name="1dp" xfId="1" xr:uid="{00000000-0005-0000-0000-000000000000}"/>
    <cellStyle name="20% - Accent1" xfId="2" builtinId="30" customBuiltin="1"/>
    <cellStyle name="20% - Accent2" xfId="3" builtinId="34" customBuiltin="1"/>
    <cellStyle name="20% - Accent3" xfId="4" builtinId="38" customBuiltin="1"/>
    <cellStyle name="20% - Accent4" xfId="5" builtinId="42" customBuiltin="1"/>
    <cellStyle name="20% - Accent5" xfId="6" builtinId="46" customBuiltin="1"/>
    <cellStyle name="20% - Accent6" xfId="7" builtinId="50" customBuiltin="1"/>
    <cellStyle name="3dp" xfId="8" xr:uid="{00000000-0005-0000-0000-000007000000}"/>
    <cellStyle name="40% - Accent1" xfId="9" builtinId="31" customBuiltin="1"/>
    <cellStyle name="40% - Accent2" xfId="10" builtinId="35" customBuiltin="1"/>
    <cellStyle name="40% - Accent3" xfId="11" builtinId="39" customBuiltin="1"/>
    <cellStyle name="40% - Accent4" xfId="12" builtinId="43" customBuiltin="1"/>
    <cellStyle name="40% - Accent5" xfId="13" builtinId="47" customBuiltin="1"/>
    <cellStyle name="40% - Accent6" xfId="14" builtinId="51" customBuiltin="1"/>
    <cellStyle name="4dp" xfId="15" xr:uid="{00000000-0005-0000-0000-00000E000000}"/>
    <cellStyle name="60% - Accent1" xfId="16" builtinId="32" customBuiltin="1"/>
    <cellStyle name="60% - Accent2" xfId="17" builtinId="36" customBuiltin="1"/>
    <cellStyle name="60% - Accent3" xfId="18" builtinId="40" customBuiltin="1"/>
    <cellStyle name="60% - Accent4" xfId="19" builtinId="44" customBuiltin="1"/>
    <cellStyle name="60% - Accent5" xfId="20" builtinId="48" customBuiltin="1"/>
    <cellStyle name="60% - Accent6" xfId="21" builtinId="52" customBuiltin="1"/>
    <cellStyle name="Accent1" xfId="22" builtinId="29" customBuiltin="1"/>
    <cellStyle name="Accent2" xfId="23" builtinId="33" customBuiltin="1"/>
    <cellStyle name="Accent3" xfId="24" builtinId="37" customBuiltin="1"/>
    <cellStyle name="Accent4" xfId="25" builtinId="41" customBuiltin="1"/>
    <cellStyle name="Accent5" xfId="26" builtinId="45" customBuiltin="1"/>
    <cellStyle name="Accent6" xfId="27" builtinId="49" customBuiltin="1"/>
    <cellStyle name="Bad" xfId="28" builtinId="27" customBuiltin="1"/>
    <cellStyle name="Calculation" xfId="29" builtinId="22" customBuiltin="1"/>
    <cellStyle name="Check Cell" xfId="30" builtinId="23" customBuiltin="1"/>
    <cellStyle name="CIL" xfId="31" xr:uid="{00000000-0005-0000-0000-00001E000000}"/>
    <cellStyle name="CIU" xfId="32" xr:uid="{00000000-0005-0000-0000-00001F000000}"/>
    <cellStyle name="Comma" xfId="87" builtinId="3"/>
    <cellStyle name="Comma 2" xfId="33" xr:uid="{00000000-0005-0000-0000-000020000000}"/>
    <cellStyle name="Comma 2 2" xfId="91" xr:uid="{E4BCB599-27B0-4086-B1EB-2E10604636DD}"/>
    <cellStyle name="Comma 3" xfId="34" xr:uid="{00000000-0005-0000-0000-000021000000}"/>
    <cellStyle name="Comma 3 2" xfId="92" xr:uid="{ED4E9A27-E69A-4BA2-818A-FC960BF53462}"/>
    <cellStyle name="Comma 4" xfId="35" xr:uid="{00000000-0005-0000-0000-000022000000}"/>
    <cellStyle name="Comma 4 2" xfId="93" xr:uid="{2F8970B0-BA6E-4543-A56B-943450B55B23}"/>
    <cellStyle name="Comma 5" xfId="36" xr:uid="{00000000-0005-0000-0000-000023000000}"/>
    <cellStyle name="Comma 6" xfId="215" xr:uid="{F452B792-6A8B-4744-9D5A-A3C7744EE4EE}"/>
    <cellStyle name="Comma0" xfId="37" xr:uid="{00000000-0005-0000-0000-000024000000}"/>
    <cellStyle name="Comma0 2" xfId="94" xr:uid="{E1ACBD40-F23F-4379-B85E-A206B05C2B4C}"/>
    <cellStyle name="Comma0 3" xfId="95" xr:uid="{873D5D2A-E91B-4590-BE94-ADF20B80D63C}"/>
    <cellStyle name="Currency0" xfId="38" xr:uid="{00000000-0005-0000-0000-000025000000}"/>
    <cellStyle name="Currency0 2" xfId="96" xr:uid="{666A5A5A-3635-4190-AF71-6FFFC74DCE25}"/>
    <cellStyle name="Currency0 3" xfId="97" xr:uid="{02C55B54-4FC3-4533-9C3C-C74834B98DC7}"/>
    <cellStyle name="Date" xfId="39" xr:uid="{00000000-0005-0000-0000-000026000000}"/>
    <cellStyle name="Date 2" xfId="98" xr:uid="{4D88E8D6-0883-484E-9B49-22EF506515E1}"/>
    <cellStyle name="Date 3" xfId="99" xr:uid="{3770B026-B814-41EC-AAE7-6815971188B1}"/>
    <cellStyle name="Explanatory Text" xfId="40" builtinId="53" customBuiltin="1"/>
    <cellStyle name="Fixed" xfId="41" xr:uid="{00000000-0005-0000-0000-000028000000}"/>
    <cellStyle name="Fixed 2" xfId="100" xr:uid="{EFF22CEA-7847-40D7-9750-80CA576E64B9}"/>
    <cellStyle name="Fixed 3" xfId="101" xr:uid="{8AB1075C-8501-4103-B7E6-314214595D67}"/>
    <cellStyle name="General" xfId="42" xr:uid="{00000000-0005-0000-0000-000029000000}"/>
    <cellStyle name="Good" xfId="43" builtinId="26" customBuiltin="1"/>
    <cellStyle name="HeaderLabel" xfId="44" xr:uid="{00000000-0005-0000-0000-00002B000000}"/>
    <cellStyle name="HeaderText" xfId="45" xr:uid="{00000000-0005-0000-0000-00002C000000}"/>
    <cellStyle name="Heading 1" xfId="46" builtinId="16" customBuiltin="1"/>
    <cellStyle name="Heading 1 2" xfId="102" xr:uid="{CF35618F-97F3-442A-8608-DD17F96CD61F}"/>
    <cellStyle name="Heading 1 3" xfId="103" xr:uid="{569E750A-EFCC-4D8D-8A11-07A7CED08C27}"/>
    <cellStyle name="Heading 1 4" xfId="104" xr:uid="{F3C6D24C-17AC-464F-9E8C-6AAC1D873106}"/>
    <cellStyle name="Heading 2" xfId="47" builtinId="17" customBuiltin="1"/>
    <cellStyle name="Heading 2 2" xfId="105" xr:uid="{867A5857-6C88-4D50-A504-F4A443A64ED0}"/>
    <cellStyle name="Heading 2 3" xfId="106" xr:uid="{55BA515A-B537-418A-85EC-4796A827F7E6}"/>
    <cellStyle name="Heading 2 4" xfId="107" xr:uid="{0E27DC14-0AE2-405B-8047-F72A52A2A587}"/>
    <cellStyle name="Heading 3" xfId="48" builtinId="18" customBuiltin="1"/>
    <cellStyle name="Heading 4" xfId="49" builtinId="19" customBuiltin="1"/>
    <cellStyle name="Hyperlink 2" xfId="501" xr:uid="{F50FEEDA-01B6-4763-B60A-583B93C8E32A}"/>
    <cellStyle name="Information" xfId="50" xr:uid="{00000000-0005-0000-0000-000031000000}"/>
    <cellStyle name="Input" xfId="51" builtinId="20" customBuiltin="1"/>
    <cellStyle name="LabelIntersect" xfId="52" xr:uid="{00000000-0005-0000-0000-000033000000}"/>
    <cellStyle name="LabelIntersect 2" xfId="108" xr:uid="{086FFC42-63A0-4374-8518-B900ADEBA424}"/>
    <cellStyle name="LabelIntersect 2 10" xfId="503" xr:uid="{27D3EAC4-EE9B-48EE-B96F-D2D8AA5817E8}"/>
    <cellStyle name="LabelIntersect 2 2" xfId="109" xr:uid="{B22A1DF9-1CFC-4093-B499-3B5F9423456B}"/>
    <cellStyle name="LabelIntersect 2 2 2" xfId="110" xr:uid="{B3984059-553D-4506-89BF-85DA2394B5AD}"/>
    <cellStyle name="LabelIntersect 2 2 2 2" xfId="172" xr:uid="{968CE1F3-7A95-40D0-8526-3135DAEBB304}"/>
    <cellStyle name="LabelIntersect 2 2 2 2 2" xfId="368" xr:uid="{496B1533-1275-48D3-8F70-547E2C5DF17D}"/>
    <cellStyle name="LabelIntersect 2 2 2 3" xfId="257" xr:uid="{D3C5AEFC-0934-4727-85B2-85CA7EABCCBF}"/>
    <cellStyle name="LabelIntersect 2 2 2 3 2" xfId="452" xr:uid="{6185A020-07A0-4143-A0A0-519EFE4436DD}"/>
    <cellStyle name="LabelIntersect 2 2 2 4" xfId="316" xr:uid="{8CC7E3A2-F294-411F-BDB5-4B4A49E3CF3D}"/>
    <cellStyle name="LabelIntersect 2 2 2 5" xfId="545" xr:uid="{9041F3B7-944F-4C30-BC92-1059EC5F96E1}"/>
    <cellStyle name="LabelIntersect 2 2 3" xfId="111" xr:uid="{14E96F7B-FDF8-4099-AAD6-962E09E13B62}"/>
    <cellStyle name="LabelIntersect 2 2 3 2" xfId="173" xr:uid="{1F271CB0-1CB3-4213-8CAB-6349E248A272}"/>
    <cellStyle name="LabelIntersect 2 2 3 2 2" xfId="369" xr:uid="{4CE97B52-DDC8-4836-8130-E9988F62F949}"/>
    <cellStyle name="LabelIntersect 2 2 3 3" xfId="238" xr:uid="{453FA38F-A6B4-4335-8CDC-3B9D87A48226}"/>
    <cellStyle name="LabelIntersect 2 2 3 3 2" xfId="433" xr:uid="{CAE20BC9-F2F0-4C6A-8B15-82754EE7F44B}"/>
    <cellStyle name="LabelIntersect 2 2 3 4" xfId="297" xr:uid="{F233A936-81BB-4022-AB6F-78042ADEAF98}"/>
    <cellStyle name="LabelIntersect 2 2 3 5" xfId="526" xr:uid="{C34A3A08-A453-4AC1-B10C-E65CD09CC7B2}"/>
    <cellStyle name="LabelIntersect 2 2 4" xfId="171" xr:uid="{D4EC4C7B-DCCA-427F-969A-657A4FBEEB98}"/>
    <cellStyle name="LabelIntersect 2 2 4 2" xfId="367" xr:uid="{985B1786-8390-49B5-9CEC-5B7FE55BD8A4}"/>
    <cellStyle name="LabelIntersect 2 2 5" xfId="227" xr:uid="{3069BECF-EEDA-4741-99E2-582CFC3404FA}"/>
    <cellStyle name="LabelIntersect 2 2 5 2" xfId="422" xr:uid="{89B3FF85-781B-4BD5-B338-20257DB60EEA}"/>
    <cellStyle name="LabelIntersect 2 2 6" xfId="272" xr:uid="{23FB0D12-B6F7-435A-9DF4-5DE98D80328F}"/>
    <cellStyle name="LabelIntersect 2 2 6 2" xfId="466" xr:uid="{938FD38D-C75C-4FA2-915D-30DF68BA7914}"/>
    <cellStyle name="LabelIntersect 2 2 7" xfId="286" xr:uid="{CCFC81D4-0403-41A7-B93F-CF546F88C1FA}"/>
    <cellStyle name="LabelIntersect 2 2 8" xfId="343" xr:uid="{610D2A98-C3E0-4C07-B902-0D713261D340}"/>
    <cellStyle name="LabelIntersect 2 2 9" xfId="511" xr:uid="{9A2664E9-077F-49EB-AD79-E222029AADDC}"/>
    <cellStyle name="LabelIntersect 2 3" xfId="112" xr:uid="{762473E8-E4F9-41FE-A3D2-2ABCF56F9258}"/>
    <cellStyle name="LabelIntersect 2 3 2" xfId="174" xr:uid="{50F54B10-4EAD-433B-9FF1-E8967F0E5E41}"/>
    <cellStyle name="LabelIntersect 2 3 2 2" xfId="370" xr:uid="{8B26EC84-530C-4C09-94E7-1EB54EFE0A7F}"/>
    <cellStyle name="LabelIntersect 2 3 3" xfId="249" xr:uid="{E586B868-59EE-4E19-87A5-A1256EA02375}"/>
    <cellStyle name="LabelIntersect 2 3 3 2" xfId="444" xr:uid="{D31F0EA3-24F6-4DAD-9714-BB8DB9F8B0F0}"/>
    <cellStyle name="LabelIntersect 2 3 4" xfId="308" xr:uid="{B957C8C3-4D80-4931-8D61-55089615FF5F}"/>
    <cellStyle name="LabelIntersect 2 3 5" xfId="537" xr:uid="{E8F7BF10-1E50-494E-950C-1B5E58A1CA73}"/>
    <cellStyle name="LabelIntersect 2 4" xfId="113" xr:uid="{7AA568C7-EFD2-4463-A8CE-D236AA3F0FAE}"/>
    <cellStyle name="LabelIntersect 2 4 2" xfId="175" xr:uid="{B4CE6C11-574A-41E3-B0A5-5BC87928B4A5}"/>
    <cellStyle name="LabelIntersect 2 4 2 2" xfId="371" xr:uid="{B73F747B-C2F2-45E1-A7D3-684CFD6936E4}"/>
    <cellStyle name="LabelIntersect 2 4 3" xfId="237" xr:uid="{4E05F20C-B61F-4E01-BF76-84CCF9A927C2}"/>
    <cellStyle name="LabelIntersect 2 4 3 2" xfId="432" xr:uid="{ECF206A8-F300-415C-8208-A5878D44E8B0}"/>
    <cellStyle name="LabelIntersect 2 4 4" xfId="296" xr:uid="{4A6A2296-4698-4356-839B-C421763266F6}"/>
    <cellStyle name="LabelIntersect 2 4 5" xfId="525" xr:uid="{38BEE50E-07D9-4C49-B536-C275FCE59456}"/>
    <cellStyle name="LabelIntersect 2 5" xfId="170" xr:uid="{AD2BF775-9A62-4F6F-BA2A-C0751E9F954D}"/>
    <cellStyle name="LabelIntersect 2 5 2" xfId="366" xr:uid="{5FC97C2F-3ADD-48DB-8116-462379B2A1A7}"/>
    <cellStyle name="LabelIntersect 2 6" xfId="219" xr:uid="{92435BA0-C892-4D92-9D67-175D0D371FAD}"/>
    <cellStyle name="LabelIntersect 2 6 2" xfId="414" xr:uid="{AEB26EA0-E084-4698-812F-EF13C94A9670}"/>
    <cellStyle name="LabelIntersect 2 7" xfId="264" xr:uid="{A844C7D7-A90E-44CC-8C55-7E092E150343}"/>
    <cellStyle name="LabelIntersect 2 7 2" xfId="458" xr:uid="{F402D4C1-790B-4F8A-B258-55FBB4E07AA4}"/>
    <cellStyle name="LabelIntersect 2 8" xfId="278" xr:uid="{D0056AE2-D00A-417C-BFFE-335C9CB3D054}"/>
    <cellStyle name="LabelIntersect 2 9" xfId="335" xr:uid="{387FE3C7-6834-4874-B68A-FC96E51D5A66}"/>
    <cellStyle name="LabelIntersect 3" xfId="114" xr:uid="{B6C7AC0F-81EB-44E6-A1DF-AAB487DD3F17}"/>
    <cellStyle name="LabelIntersect 3 10" xfId="505" xr:uid="{F8765E4D-95BB-46FB-BEAC-1EB556615E83}"/>
    <cellStyle name="LabelIntersect 3 2" xfId="115" xr:uid="{6632981E-D478-4B5B-9FEE-7C067A28C562}"/>
    <cellStyle name="LabelIntersect 3 2 2" xfId="116" xr:uid="{0C544552-689A-4606-AA31-1D5820151003}"/>
    <cellStyle name="LabelIntersect 3 2 2 2" xfId="178" xr:uid="{D2D43BAB-2338-4B48-B693-50AA16CF7E2B}"/>
    <cellStyle name="LabelIntersect 3 2 2 2 2" xfId="374" xr:uid="{B74E2C5F-75FA-4B43-997B-4C60469AAE34}"/>
    <cellStyle name="LabelIntersect 3 2 2 3" xfId="259" xr:uid="{30C8ED7F-2F3A-49AC-A9D8-FE3ACD19460E}"/>
    <cellStyle name="LabelIntersect 3 2 2 3 2" xfId="454" xr:uid="{31256170-E6D9-4346-8B3A-A79A38D86717}"/>
    <cellStyle name="LabelIntersect 3 2 2 4" xfId="318" xr:uid="{4574824E-3A9F-4275-A8F8-5E3E26143952}"/>
    <cellStyle name="LabelIntersect 3 2 2 5" xfId="547" xr:uid="{C5DF687A-8789-499F-816F-E56DEEDCFCC7}"/>
    <cellStyle name="LabelIntersect 3 2 3" xfId="117" xr:uid="{341E8862-D738-4264-8280-76D061994430}"/>
    <cellStyle name="LabelIntersect 3 2 3 2" xfId="179" xr:uid="{EFD6682C-91A7-4A56-B8AE-DF54FA061924}"/>
    <cellStyle name="LabelIntersect 3 2 3 2 2" xfId="375" xr:uid="{AD18F312-722A-4D66-AFF7-60FE6C8E50E1}"/>
    <cellStyle name="LabelIntersect 3 2 3 3" xfId="239" xr:uid="{D35FF065-3FB0-4639-B8CD-32437BDC2F17}"/>
    <cellStyle name="LabelIntersect 3 2 3 3 2" xfId="434" xr:uid="{F2EF8E1F-A52B-43E4-BEA9-8794862CD686}"/>
    <cellStyle name="LabelIntersect 3 2 3 4" xfId="298" xr:uid="{FC5684CC-F71C-4E19-A6D4-176F3AB8993C}"/>
    <cellStyle name="LabelIntersect 3 2 3 5" xfId="527" xr:uid="{236708FF-D7F6-42F2-9CC9-8EC4B5CB360B}"/>
    <cellStyle name="LabelIntersect 3 2 4" xfId="177" xr:uid="{CE6BA1B8-3C73-4079-B08D-4673C36FC45D}"/>
    <cellStyle name="LabelIntersect 3 2 4 2" xfId="373" xr:uid="{F1C94E1E-75D3-4EA2-95CF-037B4361FBA6}"/>
    <cellStyle name="LabelIntersect 3 2 5" xfId="229" xr:uid="{A68E2134-C9A5-47A7-9369-88B1D5BBF6F4}"/>
    <cellStyle name="LabelIntersect 3 2 5 2" xfId="424" xr:uid="{61D92318-7B45-4EB5-BA45-0EF7FE52165D}"/>
    <cellStyle name="LabelIntersect 3 2 6" xfId="274" xr:uid="{3CF574EA-CDA2-4356-80A8-6A1287366AB2}"/>
    <cellStyle name="LabelIntersect 3 2 6 2" xfId="468" xr:uid="{3A3BE09F-4F57-4313-B19A-EEA1386AB922}"/>
    <cellStyle name="LabelIntersect 3 2 7" xfId="288" xr:uid="{8F4CEA92-46D4-4961-9B4E-60055BC2BC0F}"/>
    <cellStyle name="LabelIntersect 3 2 8" xfId="345" xr:uid="{55C25A5D-EFD9-444A-AAAC-3808FF0529A8}"/>
    <cellStyle name="LabelIntersect 3 2 9" xfId="513" xr:uid="{8F031AF5-803E-4A2A-821A-00F3CF5CC6BC}"/>
    <cellStyle name="LabelIntersect 3 3" xfId="118" xr:uid="{A883E3D5-D698-4679-905C-76A83DE96453}"/>
    <cellStyle name="LabelIntersect 3 3 2" xfId="180" xr:uid="{45BD18F3-9225-4E11-9E33-6ECCA4E307A4}"/>
    <cellStyle name="LabelIntersect 3 3 2 2" xfId="376" xr:uid="{96AD98B8-1F5F-4975-BC6D-0E8AAF216183}"/>
    <cellStyle name="LabelIntersect 3 3 3" xfId="251" xr:uid="{11C8752D-6098-4180-95A3-A8DCAA590F1F}"/>
    <cellStyle name="LabelIntersect 3 3 3 2" xfId="446" xr:uid="{A2D9F3FC-F64D-4CAD-BC13-64D870793BDC}"/>
    <cellStyle name="LabelIntersect 3 3 4" xfId="310" xr:uid="{67071F55-AE97-4DE0-AFDC-808E6CDC2A8C}"/>
    <cellStyle name="LabelIntersect 3 3 5" xfId="539" xr:uid="{4792A057-2E4F-43EE-8007-18FC22920402}"/>
    <cellStyle name="LabelIntersect 3 4" xfId="119" xr:uid="{5D52FD7D-91F7-4B42-9764-0ABDA95C9475}"/>
    <cellStyle name="LabelIntersect 3 4 2" xfId="181" xr:uid="{ECB75910-0BD2-4306-983F-696F8695704C}"/>
    <cellStyle name="LabelIntersect 3 4 2 2" xfId="377" xr:uid="{781FEF37-AC7E-4435-B54D-7405A92E5788}"/>
    <cellStyle name="LabelIntersect 3 4 3" xfId="247" xr:uid="{366DA34B-0A39-48ED-AE3B-F838FA64756D}"/>
    <cellStyle name="LabelIntersect 3 4 3 2" xfId="442" xr:uid="{23B16874-CBBB-4C24-99F4-C1A69671AE27}"/>
    <cellStyle name="LabelIntersect 3 4 4" xfId="306" xr:uid="{31A5C9B3-D343-49EB-BAE3-808DE380D794}"/>
    <cellStyle name="LabelIntersect 3 4 5" xfId="535" xr:uid="{CB4D2936-54E0-4639-9B63-6C4B67E2E2BF}"/>
    <cellStyle name="LabelIntersect 3 5" xfId="176" xr:uid="{1ADDAAC2-E2C5-4E89-B8A1-1B2B47DA6819}"/>
    <cellStyle name="LabelIntersect 3 5 2" xfId="372" xr:uid="{8A3928F8-130F-4E51-921A-6BA9F9895FDF}"/>
    <cellStyle name="LabelIntersect 3 6" xfId="221" xr:uid="{31DCB7FF-F0BF-40C0-BDE3-176F9BE62107}"/>
    <cellStyle name="LabelIntersect 3 6 2" xfId="416" xr:uid="{47CBDE7F-0232-46AD-88F3-B9E2DACB7A37}"/>
    <cellStyle name="LabelIntersect 3 7" xfId="266" xr:uid="{278D9584-1B96-44E7-8C9F-60FD004CA4AC}"/>
    <cellStyle name="LabelIntersect 3 7 2" xfId="460" xr:uid="{C83EC8F3-6778-47F3-82C5-E68256FA3A24}"/>
    <cellStyle name="LabelIntersect 3 8" xfId="280" xr:uid="{0CD3A740-1F4B-4EF1-AF19-A3C0F29CB880}"/>
    <cellStyle name="LabelIntersect 3 9" xfId="337" xr:uid="{D58D55A5-1A24-49FC-96F5-F4A892DA5A1F}"/>
    <cellStyle name="LabelIntersect 4" xfId="120" xr:uid="{4743090A-1B5F-4CB6-AF95-F9CA90BD18D2}"/>
    <cellStyle name="LabelIntersect 4 10" xfId="509" xr:uid="{B9FE4392-C38F-4D68-AEAE-997AABAFE038}"/>
    <cellStyle name="LabelIntersect 4 2" xfId="121" xr:uid="{275DDBF0-ED49-452B-8931-5E88659B7CE9}"/>
    <cellStyle name="LabelIntersect 4 2 2" xfId="122" xr:uid="{DA0E520B-C51E-4574-8B62-43547E467B2A}"/>
    <cellStyle name="LabelIntersect 4 2 2 2" xfId="184" xr:uid="{9364C8F4-026D-4D97-B247-58EF99418D5B}"/>
    <cellStyle name="LabelIntersect 4 2 2 2 2" xfId="380" xr:uid="{50590868-63A3-48A9-BD18-EE47A944F932}"/>
    <cellStyle name="LabelIntersect 4 2 2 3" xfId="261" xr:uid="{24E70E32-FBB8-4121-A84D-A0C057AFBFB5}"/>
    <cellStyle name="LabelIntersect 4 2 2 3 2" xfId="456" xr:uid="{9A70E6AE-575C-4651-B493-7995EAF2BF83}"/>
    <cellStyle name="LabelIntersect 4 2 2 4" xfId="320" xr:uid="{8E1A8361-E772-450C-BB0E-478A56875BE6}"/>
    <cellStyle name="LabelIntersect 4 2 2 5" xfId="549" xr:uid="{DF0B43B2-3583-4529-8F82-C703B09F5513}"/>
    <cellStyle name="LabelIntersect 4 2 3" xfId="123" xr:uid="{9A87339F-08C3-45AD-ABB4-8047062A9414}"/>
    <cellStyle name="LabelIntersect 4 2 3 2" xfId="185" xr:uid="{84090D47-6BE3-4651-BA2A-08F7007E740A}"/>
    <cellStyle name="LabelIntersect 4 2 3 2 2" xfId="381" xr:uid="{ACBBD598-4CA1-4D66-8834-EC8EDD7E21A2}"/>
    <cellStyle name="LabelIntersect 4 2 3 3" xfId="235" xr:uid="{7D6D1782-4360-4D21-8BDC-4FBB812841E1}"/>
    <cellStyle name="LabelIntersect 4 2 3 3 2" xfId="430" xr:uid="{C33663B7-CF02-41C6-B372-4B44A8B06363}"/>
    <cellStyle name="LabelIntersect 4 2 3 4" xfId="294" xr:uid="{84A269EF-BACF-486B-A8BD-E7184509722A}"/>
    <cellStyle name="LabelIntersect 4 2 3 5" xfId="523" xr:uid="{04CFC707-2BC6-422B-BDF2-949D361FB182}"/>
    <cellStyle name="LabelIntersect 4 2 4" xfId="183" xr:uid="{102237A6-FD03-4879-B335-36E27A0574D9}"/>
    <cellStyle name="LabelIntersect 4 2 4 2" xfId="379" xr:uid="{E862AE16-D2A1-46ED-8897-2E6D0D600B4B}"/>
    <cellStyle name="LabelIntersect 4 2 5" xfId="231" xr:uid="{E80690D2-6AF3-49DB-B54C-262A0944E3CB}"/>
    <cellStyle name="LabelIntersect 4 2 5 2" xfId="426" xr:uid="{192B703B-24B4-4C69-8241-22B688202138}"/>
    <cellStyle name="LabelIntersect 4 2 6" xfId="276" xr:uid="{74BA9842-A2DF-43E6-8BEB-31B2A4AD3BE7}"/>
    <cellStyle name="LabelIntersect 4 2 6 2" xfId="470" xr:uid="{A2C1FBE8-AE6E-4107-B9EC-88CC438180E3}"/>
    <cellStyle name="LabelIntersect 4 2 7" xfId="290" xr:uid="{97CA6C9D-6D22-4DF3-AA24-98D3E05F6C3D}"/>
    <cellStyle name="LabelIntersect 4 2 8" xfId="347" xr:uid="{3FB503A1-DE30-4148-A81F-D63486D9D722}"/>
    <cellStyle name="LabelIntersect 4 2 9" xfId="515" xr:uid="{A0AD50B9-D4BF-4EA6-BBC7-950D4A9E6037}"/>
    <cellStyle name="LabelIntersect 4 3" xfId="124" xr:uid="{D64609A7-5359-4897-9FF3-4149712059ED}"/>
    <cellStyle name="LabelIntersect 4 3 2" xfId="186" xr:uid="{F882DA00-32EC-44AA-B79D-E65EBCF14ED0}"/>
    <cellStyle name="LabelIntersect 4 3 2 2" xfId="382" xr:uid="{BCC7BC47-A893-4CFA-A538-EA02B830679B}"/>
    <cellStyle name="LabelIntersect 4 3 3" xfId="255" xr:uid="{69AB7511-C632-4899-B487-8CC37952E0D4}"/>
    <cellStyle name="LabelIntersect 4 3 3 2" xfId="450" xr:uid="{6115CD4E-DA2A-4CA1-9ACB-D7543F317ACE}"/>
    <cellStyle name="LabelIntersect 4 3 4" xfId="314" xr:uid="{8DF6F8A2-D6DC-4828-9739-C8584DAF474B}"/>
    <cellStyle name="LabelIntersect 4 3 5" xfId="543" xr:uid="{CE98C9AA-FB6D-48B1-96CE-FDD095C9CAC8}"/>
    <cellStyle name="LabelIntersect 4 4" xfId="125" xr:uid="{B12C6DFE-26F4-4C71-BE8F-7F42186A8EC4}"/>
    <cellStyle name="LabelIntersect 4 4 2" xfId="187" xr:uid="{583F6074-A0AC-42F4-90E6-11107E1D9B36}"/>
    <cellStyle name="LabelIntersect 4 4 2 2" xfId="383" xr:uid="{4E3FE28B-D474-4F17-86C1-781AE5B2FFB6}"/>
    <cellStyle name="LabelIntersect 4 4 3" xfId="244" xr:uid="{C822BBEB-4CE8-45F8-B470-708D41B40B1B}"/>
    <cellStyle name="LabelIntersect 4 4 3 2" xfId="439" xr:uid="{5FC2F60E-935E-4D35-B2C5-7ED26D1E7D9F}"/>
    <cellStyle name="LabelIntersect 4 4 4" xfId="303" xr:uid="{0D9582EB-1F4A-4D1E-8133-6A487441FAEA}"/>
    <cellStyle name="LabelIntersect 4 4 5" xfId="532" xr:uid="{60C952CE-FA4F-4168-BC7C-B341A316FB4E}"/>
    <cellStyle name="LabelIntersect 4 5" xfId="182" xr:uid="{F18F9B55-3EF8-4351-BF0F-842C6E6058B1}"/>
    <cellStyle name="LabelIntersect 4 5 2" xfId="378" xr:uid="{975A51CA-AC8D-42BB-9A58-A6D4D62D0ECE}"/>
    <cellStyle name="LabelIntersect 4 6" xfId="225" xr:uid="{0056C9CA-7163-4251-904B-8C49867F7063}"/>
    <cellStyle name="LabelIntersect 4 6 2" xfId="420" xr:uid="{6AF7A49F-2943-4064-9456-2AD062BA6E4E}"/>
    <cellStyle name="LabelIntersect 4 7" xfId="270" xr:uid="{EF34709C-524E-412E-8978-78C26A8D91C6}"/>
    <cellStyle name="LabelIntersect 4 7 2" xfId="464" xr:uid="{6F033CB2-E805-4528-8841-77C82981704C}"/>
    <cellStyle name="LabelIntersect 4 8" xfId="284" xr:uid="{58F2D2BA-5771-4ED7-9105-B9019EE79A40}"/>
    <cellStyle name="LabelIntersect 4 9" xfId="341" xr:uid="{CE899A01-FD79-4869-B75D-6D9D7DA1A3A5}"/>
    <cellStyle name="LabelIntersect 5" xfId="126" xr:uid="{1B81BFB5-85CC-4AA5-8EC5-07EF952121B7}"/>
    <cellStyle name="LabelIntersect 5 2" xfId="127" xr:uid="{FAEDDDCC-F24A-4FAC-900B-7BC7F4F1F523}"/>
    <cellStyle name="LabelIntersect 5 2 2" xfId="189" xr:uid="{D0C5C419-A1B2-47D9-B29C-AB648ACA4407}"/>
    <cellStyle name="LabelIntersect 5 2 2 2" xfId="385" xr:uid="{09A9749E-EB88-4BFE-945C-6E7284EF5DEE}"/>
    <cellStyle name="LabelIntersect 5 2 3" xfId="253" xr:uid="{432A99FE-181C-4559-B53D-643268ABF94A}"/>
    <cellStyle name="LabelIntersect 5 2 3 2" xfId="448" xr:uid="{E2DF5826-E5B6-42AC-89C8-10916E578128}"/>
    <cellStyle name="LabelIntersect 5 2 4" xfId="312" xr:uid="{7C9DDF7A-8F7E-4F9B-A70A-BB207B859E38}"/>
    <cellStyle name="LabelIntersect 5 2 5" xfId="541" xr:uid="{9713428D-94D4-48FD-A9EE-D6EE6372017F}"/>
    <cellStyle name="LabelIntersect 5 3" xfId="128" xr:uid="{2A19760B-D255-45CC-8C8D-FC5E1BBD06EE}"/>
    <cellStyle name="LabelIntersect 5 3 2" xfId="190" xr:uid="{9F17713B-CB05-436B-A154-CFDF29EFA50E}"/>
    <cellStyle name="LabelIntersect 5 3 2 2" xfId="386" xr:uid="{405AFE77-2059-4E8D-874F-6D479C0C5220}"/>
    <cellStyle name="LabelIntersect 5 3 3" xfId="243" xr:uid="{FDF04BCF-15DE-435E-B90B-369753512B3A}"/>
    <cellStyle name="LabelIntersect 5 3 3 2" xfId="438" xr:uid="{0364EBFE-68F1-441C-8243-08F8B7298DA3}"/>
    <cellStyle name="LabelIntersect 5 3 4" xfId="302" xr:uid="{4831FEFF-16EB-48C7-903D-BD1F16AB281B}"/>
    <cellStyle name="LabelIntersect 5 3 5" xfId="531" xr:uid="{66A3CBCD-EB53-445E-886C-4B5EE1279F2A}"/>
    <cellStyle name="LabelIntersect 5 4" xfId="188" xr:uid="{50FE0C7E-18E8-421F-813E-A6B860094050}"/>
    <cellStyle name="LabelIntersect 5 4 2" xfId="384" xr:uid="{DF90DCA5-A775-4AD5-8FEC-9067F6155296}"/>
    <cellStyle name="LabelIntersect 5 5" xfId="223" xr:uid="{6E03C582-9CCD-4B1D-97A3-231EFC097994}"/>
    <cellStyle name="LabelIntersect 5 5 2" xfId="418" xr:uid="{4AF6C658-3CF3-4D36-8438-70DFC14512D9}"/>
    <cellStyle name="LabelIntersect 5 6" xfId="268" xr:uid="{E915F669-4144-4F0F-A437-6E49F80CECA9}"/>
    <cellStyle name="LabelIntersect 5 6 2" xfId="462" xr:uid="{0DE9C185-A0C4-4981-AE47-844002137BFD}"/>
    <cellStyle name="LabelIntersect 5 7" xfId="282" xr:uid="{9968C715-30BD-4936-8397-4B19438DD811}"/>
    <cellStyle name="LabelIntersect 5 8" xfId="339" xr:uid="{FC05A5C2-0EFA-40DB-814A-EE1E9CBBA281}"/>
    <cellStyle name="LabelIntersect 5 9" xfId="507" xr:uid="{E3A9271F-8E11-419A-8DC9-C23C13F7E8C6}"/>
    <cellStyle name="LabelIntersect 6" xfId="129" xr:uid="{F57E6E12-D3CE-4695-9A94-33A66EC608BF}"/>
    <cellStyle name="LabelIntersect 6 2" xfId="191" xr:uid="{47E83184-CBCE-46E3-9C42-8060EEEA41E3}"/>
    <cellStyle name="LabelIntersect 6 2 2" xfId="387" xr:uid="{8077FA01-F031-456B-8B33-741E50B0737D}"/>
    <cellStyle name="LabelIntersect 6 3" xfId="233" xr:uid="{70169FE8-966E-46F0-97BD-CCBCE673FCFF}"/>
    <cellStyle name="LabelIntersect 6 3 2" xfId="428" xr:uid="{8A381480-9FBB-4BF3-937F-5AC043F8D934}"/>
    <cellStyle name="LabelIntersect 6 4" xfId="292" xr:uid="{4B6C3CC4-860D-4C04-A470-8B5CEE56A428}"/>
    <cellStyle name="LabelIntersect 6 5" xfId="517" xr:uid="{FA33A279-B081-4BFA-BB52-899B70105D43}"/>
    <cellStyle name="LabelIntersect 7" xfId="169" xr:uid="{528F37CF-B1EC-4E68-875B-51CE83E35E80}"/>
    <cellStyle name="LabelIntersect 7 2" xfId="365" xr:uid="{D4C5F099-8B84-4E81-A1A3-C8DA0BB4E75F}"/>
    <cellStyle name="LabelIntersect 8" xfId="216" xr:uid="{D27AA627-8C92-4FB5-9555-0C31BC4D9CB6}"/>
    <cellStyle name="LabelIntersect 8 2" xfId="411" xr:uid="{3FEBA5A8-1113-428B-B4EC-F8A62E20F47D}"/>
    <cellStyle name="LabelLeft" xfId="53" xr:uid="{00000000-0005-0000-0000-000034000000}"/>
    <cellStyle name="LabelTop" xfId="54" xr:uid="{00000000-0005-0000-0000-000035000000}"/>
    <cellStyle name="LabelTop 2" xfId="130" xr:uid="{1D8BEA68-7267-4EEB-8516-59AE0B15B229}"/>
    <cellStyle name="LabelTop 2 10" xfId="502" xr:uid="{53A0DAAD-2B7A-44A1-8143-6684150DDDD3}"/>
    <cellStyle name="LabelTop 2 2" xfId="131" xr:uid="{62D7A3A0-D3EC-4C20-90B7-12BD5BA9229A}"/>
    <cellStyle name="LabelTop 2 2 2" xfId="132" xr:uid="{50D5A3F3-E4AC-4C16-920F-434C2E4CCC73}"/>
    <cellStyle name="LabelTop 2 2 2 2" xfId="195" xr:uid="{4D2F49D5-5988-47D2-B9D1-0BC3A2FFB6CA}"/>
    <cellStyle name="LabelTop 2 2 2 2 2" xfId="391" xr:uid="{FE422BE0-0D5E-49CA-9D36-B40ADA1B525E}"/>
    <cellStyle name="LabelTop 2 2 2 3" xfId="256" xr:uid="{7C938155-6054-4EDE-A3F8-B32CB6B78676}"/>
    <cellStyle name="LabelTop 2 2 2 3 2" xfId="451" xr:uid="{65180F99-665C-4F9E-9F0C-FFFA25431537}"/>
    <cellStyle name="LabelTop 2 2 2 4" xfId="315" xr:uid="{9817D34F-6FBB-4591-9ACA-1D4699D58CC2}"/>
    <cellStyle name="LabelTop 2 2 2 4 2" xfId="490" xr:uid="{DFFCBB17-8E66-43C7-9221-009EDA8216D9}"/>
    <cellStyle name="LabelTop 2 2 2 5" xfId="360" xr:uid="{E5AE4490-D8AC-4432-96A9-705B96C885B4}"/>
    <cellStyle name="LabelTop 2 2 2 6" xfId="544" xr:uid="{A7876344-6CC8-4039-AC6C-05B151B7DA15}"/>
    <cellStyle name="LabelTop 2 2 3" xfId="133" xr:uid="{50A562C0-F0D2-40E7-9F22-5952B503E132}"/>
    <cellStyle name="LabelTop 2 2 3 2" xfId="196" xr:uid="{B4339973-578F-46EF-82A8-F6DE44F3CFDF}"/>
    <cellStyle name="LabelTop 2 2 3 2 2" xfId="392" xr:uid="{4604587E-1171-4B7A-9E64-104251179B10}"/>
    <cellStyle name="LabelTop 2 2 3 3" xfId="241" xr:uid="{52482052-3CA9-4BDC-B93E-E8768AFE5352}"/>
    <cellStyle name="LabelTop 2 2 3 3 2" xfId="436" xr:uid="{42637518-623C-4AF3-B608-70663A79DA74}"/>
    <cellStyle name="LabelTop 2 2 3 4" xfId="300" xr:uid="{E18222F2-2965-4497-9A3A-CFFA6F93DA98}"/>
    <cellStyle name="LabelTop 2 2 3 4 2" xfId="482" xr:uid="{56D73BE1-B10F-4766-84C3-EA7953FAC9B8}"/>
    <cellStyle name="LabelTop 2 2 3 5" xfId="352" xr:uid="{654603A0-8E44-475D-A1A8-CD4F04A5D89F}"/>
    <cellStyle name="LabelTop 2 2 3 6" xfId="529" xr:uid="{897C3B13-925D-4E97-80CB-8564D1A0B589}"/>
    <cellStyle name="LabelTop 2 2 4" xfId="194" xr:uid="{7536FCA4-E8D1-45A8-B2C4-0F216C6D4693}"/>
    <cellStyle name="LabelTop 2 2 4 2" xfId="390" xr:uid="{3C332135-1491-410F-AB67-2CF4BF4FCFC8}"/>
    <cellStyle name="LabelTop 2 2 5" xfId="226" xr:uid="{4ABFBAA1-C5F2-4BFC-8A3E-6CF73057EC2A}"/>
    <cellStyle name="LabelTop 2 2 5 2" xfId="421" xr:uid="{B5F4B4D9-6E25-4DDC-B47C-2BF0840A1043}"/>
    <cellStyle name="LabelTop 2 2 6" xfId="271" xr:uid="{AA3ED70D-9ED7-4340-B407-C244235D26E8}"/>
    <cellStyle name="LabelTop 2 2 6 2" xfId="465" xr:uid="{20F3EF23-730F-4A99-99D1-E0F6E89A7B6C}"/>
    <cellStyle name="LabelTop 2 2 7" xfId="285" xr:uid="{9135174E-EC45-497A-A4AD-0F9E57DFD2D6}"/>
    <cellStyle name="LabelTop 2 2 7 2" xfId="475" xr:uid="{0DB1A4DF-14E4-43A8-BDE5-7B7B12A9340E}"/>
    <cellStyle name="LabelTop 2 2 8" xfId="342" xr:uid="{D128BE7A-C46E-492B-864A-589C2A87A4AA}"/>
    <cellStyle name="LabelTop 2 2 9" xfId="510" xr:uid="{00185D17-1E4B-4E94-BF68-9EE37108B6CC}"/>
    <cellStyle name="LabelTop 2 3" xfId="134" xr:uid="{2FFF555B-14E9-4AD6-A090-3F35548212E6}"/>
    <cellStyle name="LabelTop 2 3 2" xfId="197" xr:uid="{FE593B5C-AC7F-4DF8-B2FD-F407FAFE527B}"/>
    <cellStyle name="LabelTop 2 3 2 2" xfId="393" xr:uid="{3B657CD6-1920-4187-A820-FE9209F1F83E}"/>
    <cellStyle name="LabelTop 2 3 3" xfId="248" xr:uid="{74B42D04-A794-4668-82ED-0A9ED0E2D974}"/>
    <cellStyle name="LabelTop 2 3 3 2" xfId="443" xr:uid="{375565CF-DB4B-46B5-8073-1ACD113D4726}"/>
    <cellStyle name="LabelTop 2 3 4" xfId="307" xr:uid="{96F16F74-0CA2-41F6-A48C-295BE8C3E5D9}"/>
    <cellStyle name="LabelTop 2 3 4 2" xfId="486" xr:uid="{8A123770-B5D9-4FED-B335-DC82BAB8C85B}"/>
    <cellStyle name="LabelTop 2 3 5" xfId="356" xr:uid="{FDD092F2-9F97-47BF-BDAC-09686F7B275E}"/>
    <cellStyle name="LabelTop 2 3 6" xfId="536" xr:uid="{287BC83D-4000-4FEC-AE18-A5B3697A4663}"/>
    <cellStyle name="LabelTop 2 4" xfId="135" xr:uid="{E38E5D0B-A448-4319-8F72-0DD26AED1B76}"/>
    <cellStyle name="LabelTop 2 4 2" xfId="198" xr:uid="{5243F3B7-67AD-4880-BCFE-66A2B90F2F79}"/>
    <cellStyle name="LabelTop 2 4 2 2" xfId="394" xr:uid="{C0A996D1-9BD3-4671-9292-4DA380F52AB0}"/>
    <cellStyle name="LabelTop 2 4 3" xfId="245" xr:uid="{DBC5FA63-4612-4A49-96F4-61F3E83619AC}"/>
    <cellStyle name="LabelTop 2 4 3 2" xfId="440" xr:uid="{5510EC36-01B1-42D4-8BD6-4E577285BEEC}"/>
    <cellStyle name="LabelTop 2 4 4" xfId="304" xr:uid="{A3CB2791-D058-4432-BB4A-5EC802BA86DD}"/>
    <cellStyle name="LabelTop 2 4 4 2" xfId="484" xr:uid="{F27DB2C1-2CF4-440E-A157-9C06ED5C11B5}"/>
    <cellStyle name="LabelTop 2 4 5" xfId="354" xr:uid="{2302148A-646B-4CF1-94B0-2B59D07F12DD}"/>
    <cellStyle name="LabelTop 2 4 6" xfId="533" xr:uid="{414DBAEA-F1EF-4779-BADE-BD8522BB76B9}"/>
    <cellStyle name="LabelTop 2 5" xfId="193" xr:uid="{D2D25121-2F84-4621-886F-6BBF3406293E}"/>
    <cellStyle name="LabelTop 2 5 2" xfId="389" xr:uid="{886E0D9E-ED05-49CB-9BD3-71662114D44E}"/>
    <cellStyle name="LabelTop 2 6" xfId="218" xr:uid="{A64866EF-39D6-4D95-A1E5-D0204DC9663A}"/>
    <cellStyle name="LabelTop 2 6 2" xfId="413" xr:uid="{F6764F6E-D72D-4CC1-8811-7DD9F657599A}"/>
    <cellStyle name="LabelTop 2 7" xfId="263" xr:uid="{AE596A50-A431-46EE-8188-E4F9F81DF54F}"/>
    <cellStyle name="LabelTop 2 7 2" xfId="457" xr:uid="{BE5FE096-B6AE-4C91-BF9B-548CCFD24650}"/>
    <cellStyle name="LabelTop 2 8" xfId="277" xr:uid="{CE1BD8B8-7B10-4B68-907B-77B400308FEA}"/>
    <cellStyle name="LabelTop 2 8 2" xfId="471" xr:uid="{424157F8-1113-4604-915A-0F884C53192D}"/>
    <cellStyle name="LabelTop 2 9" xfId="334" xr:uid="{BFC11974-1F93-432D-A945-16961EA4A362}"/>
    <cellStyle name="LabelTop 3" xfId="136" xr:uid="{A42C183F-6EB2-4B66-AC4A-858F1CC8FD8F}"/>
    <cellStyle name="LabelTop 3 10" xfId="504" xr:uid="{DE7FD054-B417-42F5-B907-D295F0C2702B}"/>
    <cellStyle name="LabelTop 3 2" xfId="137" xr:uid="{1C8CCE77-52F0-4AC3-9E9B-67B2CEC73EC0}"/>
    <cellStyle name="LabelTop 3 2 2" xfId="138" xr:uid="{100ECF26-9468-4B8F-BFCB-B7945826099D}"/>
    <cellStyle name="LabelTop 3 2 2 2" xfId="201" xr:uid="{4FF5FA73-9175-473D-A13E-B1C964655BFB}"/>
    <cellStyle name="LabelTop 3 2 2 2 2" xfId="397" xr:uid="{55D0313C-515A-4922-B91E-11C329DF5C40}"/>
    <cellStyle name="LabelTop 3 2 2 3" xfId="258" xr:uid="{C74EBACB-8367-48E8-823A-631F11241DDF}"/>
    <cellStyle name="LabelTop 3 2 2 3 2" xfId="453" xr:uid="{AB68FBDB-9498-4AC9-BA1D-CFA90C0162B2}"/>
    <cellStyle name="LabelTop 3 2 2 4" xfId="317" xr:uid="{E8EC597C-4254-471D-9816-844857739A55}"/>
    <cellStyle name="LabelTop 3 2 2 4 2" xfId="491" xr:uid="{9B81A8DD-09A8-4FB8-AB36-A80764666379}"/>
    <cellStyle name="LabelTop 3 2 2 5" xfId="361" xr:uid="{FCFE2A46-0814-4A73-87AD-A98DFC21E269}"/>
    <cellStyle name="LabelTop 3 2 2 6" xfId="546" xr:uid="{30D60101-C97A-4EBF-AFB6-AAEAACEA7D5C}"/>
    <cellStyle name="LabelTop 3 2 3" xfId="139" xr:uid="{9A262B1E-92D6-42FB-84E1-AA81A5FD513F}"/>
    <cellStyle name="LabelTop 3 2 3 2" xfId="202" xr:uid="{912A3EE7-C657-4321-88DC-6785CC1B8C21}"/>
    <cellStyle name="LabelTop 3 2 3 2 2" xfId="398" xr:uid="{79CBE09A-4CB2-4F18-9C32-5443F0A97D4E}"/>
    <cellStyle name="LabelTop 3 2 3 3" xfId="234" xr:uid="{9789156E-EC96-4897-8BB0-EC6C834CF2F3}"/>
    <cellStyle name="LabelTop 3 2 3 3 2" xfId="429" xr:uid="{EA24E57E-2ADF-4751-B7CF-5BC39DEDE092}"/>
    <cellStyle name="LabelTop 3 2 3 4" xfId="293" xr:uid="{9239279A-43DE-41D0-90A4-4059B2A5CCBF}"/>
    <cellStyle name="LabelTop 3 2 3 4 2" xfId="479" xr:uid="{5D90EFEC-1D7E-438F-A59C-07862FF3F378}"/>
    <cellStyle name="LabelTop 3 2 3 5" xfId="349" xr:uid="{4296418D-507F-4BE2-BBF0-D6A8B5E1400E}"/>
    <cellStyle name="LabelTop 3 2 3 6" xfId="522" xr:uid="{9F9F2771-9608-431A-A270-05D09903F4CF}"/>
    <cellStyle name="LabelTop 3 2 4" xfId="200" xr:uid="{D56D6C25-851B-47E0-8BFC-8004696F2B42}"/>
    <cellStyle name="LabelTop 3 2 4 2" xfId="396" xr:uid="{8C886751-CC04-497A-A3E7-553B8A204808}"/>
    <cellStyle name="LabelTop 3 2 5" xfId="228" xr:uid="{26B96FA6-C950-4520-934A-A02A3DF31833}"/>
    <cellStyle name="LabelTop 3 2 5 2" xfId="423" xr:uid="{34081374-B952-4F22-8814-E3D27B1E2049}"/>
    <cellStyle name="LabelTop 3 2 6" xfId="273" xr:uid="{D50DC260-9680-4D28-915C-1EBD4A6E080D}"/>
    <cellStyle name="LabelTop 3 2 6 2" xfId="467" xr:uid="{E1F34A84-3A7F-4288-8335-25901C333D15}"/>
    <cellStyle name="LabelTop 3 2 7" xfId="287" xr:uid="{950F8D48-4AF2-4EA8-8472-1C9F2CED560A}"/>
    <cellStyle name="LabelTop 3 2 7 2" xfId="476" xr:uid="{2CC62794-1B42-4A33-89D5-46D0379DA247}"/>
    <cellStyle name="LabelTop 3 2 8" xfId="344" xr:uid="{91081629-1ADC-4496-ABAB-72CF335183EC}"/>
    <cellStyle name="LabelTop 3 2 9" xfId="512" xr:uid="{FD058C57-2448-484B-A892-250B08382969}"/>
    <cellStyle name="LabelTop 3 3" xfId="140" xr:uid="{BC30D3B3-B5B6-485E-A5EC-AC278743C663}"/>
    <cellStyle name="LabelTop 3 3 2" xfId="203" xr:uid="{337D4369-836D-46B1-A6FB-ADA2E4853F3C}"/>
    <cellStyle name="LabelTop 3 3 2 2" xfId="399" xr:uid="{2D457B84-7C9C-405A-BA62-832DEE9E877F}"/>
    <cellStyle name="LabelTop 3 3 3" xfId="250" xr:uid="{929B1668-359E-48C4-A6BF-3908DE48CF15}"/>
    <cellStyle name="LabelTop 3 3 3 2" xfId="445" xr:uid="{64721992-24E9-4FDD-9F40-4749D1C4B2D4}"/>
    <cellStyle name="LabelTop 3 3 4" xfId="309" xr:uid="{8332CB95-6C79-4B4A-91A9-F26CD630F376}"/>
    <cellStyle name="LabelTop 3 3 4 2" xfId="487" xr:uid="{A0781B8A-4740-4273-B34B-E1A7E02C6FD3}"/>
    <cellStyle name="LabelTop 3 3 5" xfId="357" xr:uid="{617B5D1D-6261-498E-9C95-FF899B9F17C7}"/>
    <cellStyle name="LabelTop 3 3 6" xfId="538" xr:uid="{D817DCD8-EED7-4792-B6B8-5ADAAF86E1F8}"/>
    <cellStyle name="LabelTop 3 4" xfId="141" xr:uid="{39BF9378-7CF9-45CD-AD4D-15328423D451}"/>
    <cellStyle name="LabelTop 3 4 2" xfId="204" xr:uid="{356DB80F-F82C-400B-8B7A-DF43F8A31B25}"/>
    <cellStyle name="LabelTop 3 4 2 2" xfId="400" xr:uid="{776141A6-B675-4DCA-A608-74CB415B4B37}"/>
    <cellStyle name="LabelTop 3 4 3" xfId="246" xr:uid="{2411349A-28A4-4443-89A7-8A50B4819F22}"/>
    <cellStyle name="LabelTop 3 4 3 2" xfId="441" xr:uid="{13EA7038-3005-4654-B3E4-DE84A0444E06}"/>
    <cellStyle name="LabelTop 3 4 4" xfId="305" xr:uid="{7BE340B8-01F3-41C9-99AC-A130A4CBDC21}"/>
    <cellStyle name="LabelTop 3 4 4 2" xfId="485" xr:uid="{42BC2325-E380-49F3-B6B8-BA6EEE031CDB}"/>
    <cellStyle name="LabelTop 3 4 5" xfId="355" xr:uid="{57AC8BFA-3944-487C-9954-A2647FC2D3BA}"/>
    <cellStyle name="LabelTop 3 4 6" xfId="534" xr:uid="{2F32BF4F-6901-4AC5-B9F8-DB5B66C585E8}"/>
    <cellStyle name="LabelTop 3 5" xfId="199" xr:uid="{B99D669B-892A-41CC-A9D4-5B0113E0B51E}"/>
    <cellStyle name="LabelTop 3 5 2" xfId="395" xr:uid="{59F27D6B-E6CB-4D6F-8338-1F1617F2DF3A}"/>
    <cellStyle name="LabelTop 3 6" xfId="220" xr:uid="{330B0A0C-2668-4E06-93AC-0C8D43A9AD5E}"/>
    <cellStyle name="LabelTop 3 6 2" xfId="415" xr:uid="{68FE1527-9EFC-4447-A22C-140D5359EE97}"/>
    <cellStyle name="LabelTop 3 7" xfId="265" xr:uid="{E84AB347-D91F-401A-86DE-A0885E5AF5FE}"/>
    <cellStyle name="LabelTop 3 7 2" xfId="459" xr:uid="{8B24408D-801A-457D-8037-34077CE17D53}"/>
    <cellStyle name="LabelTop 3 8" xfId="279" xr:uid="{BB6A08A0-21C9-465A-8FA2-E50E269FF9EC}"/>
    <cellStyle name="LabelTop 3 8 2" xfId="472" xr:uid="{EF01E001-8933-4CBC-AC6A-ADCC7E075C74}"/>
    <cellStyle name="LabelTop 3 9" xfId="336" xr:uid="{90A90BC1-3953-46A4-AE4D-FA0C2D91465D}"/>
    <cellStyle name="LabelTop 4" xfId="142" xr:uid="{2873F7D7-2863-454C-A593-A9D5A25BC434}"/>
    <cellStyle name="LabelTop 4 10" xfId="506" xr:uid="{2F18190B-DA69-4343-BD6B-184B53D085D1}"/>
    <cellStyle name="LabelTop 4 2" xfId="143" xr:uid="{A4126125-70EE-4F34-B1E7-84EA79A55827}"/>
    <cellStyle name="LabelTop 4 2 2" xfId="144" xr:uid="{8A2E006E-67EB-4F6D-BFCF-44D21E88840F}"/>
    <cellStyle name="LabelTop 4 2 2 2" xfId="207" xr:uid="{C8E18864-EB44-4BB9-9BA2-16DD955A5060}"/>
    <cellStyle name="LabelTop 4 2 2 2 2" xfId="403" xr:uid="{3668DA24-323C-4D0B-A9AF-FB6E7EB9161B}"/>
    <cellStyle name="LabelTop 4 2 2 3" xfId="260" xr:uid="{8F20C6C9-C33F-41E5-950A-DBAAFBAFECA7}"/>
    <cellStyle name="LabelTop 4 2 2 3 2" xfId="455" xr:uid="{C9FBD8BF-0201-4C8F-9EC9-83ACC366780C}"/>
    <cellStyle name="LabelTop 4 2 2 4" xfId="319" xr:uid="{75BC1DC0-0143-4729-9B13-11270492501C}"/>
    <cellStyle name="LabelTop 4 2 2 4 2" xfId="492" xr:uid="{184BF8EF-4298-4A56-A116-4456D3F62F95}"/>
    <cellStyle name="LabelTop 4 2 2 5" xfId="362" xr:uid="{35A58DCA-0F2D-444C-8FB2-7EDD5FEA4827}"/>
    <cellStyle name="LabelTop 4 2 2 6" xfId="548" xr:uid="{AE716A47-2F57-4E3A-B56D-8A4305FA75C4}"/>
    <cellStyle name="LabelTop 4 2 3" xfId="145" xr:uid="{5E95BBA7-3D90-44BF-BF1A-12D49F323E34}"/>
    <cellStyle name="LabelTop 4 2 3 2" xfId="208" xr:uid="{BF7DA9F1-AF8F-4B21-8D60-17ECACA4487C}"/>
    <cellStyle name="LabelTop 4 2 3 2 2" xfId="404" xr:uid="{C5DD11F4-79BE-4B41-8A12-18B553803B54}"/>
    <cellStyle name="LabelTop 4 2 3 3" xfId="240" xr:uid="{5C4F2ADE-FBAC-4143-9C89-E87E7B007DA0}"/>
    <cellStyle name="LabelTop 4 2 3 3 2" xfId="435" xr:uid="{668AB8EF-8B48-4DE7-9DB4-0955EFF1E6B7}"/>
    <cellStyle name="LabelTop 4 2 3 4" xfId="299" xr:uid="{B1028D45-7576-47B1-80A7-D2B3D0E5FA28}"/>
    <cellStyle name="LabelTop 4 2 3 4 2" xfId="481" xr:uid="{D4EA13A7-ED8C-45F9-8C84-368477315261}"/>
    <cellStyle name="LabelTop 4 2 3 5" xfId="351" xr:uid="{7E699715-23D0-4FBA-93D2-86467FCF0872}"/>
    <cellStyle name="LabelTop 4 2 3 6" xfId="528" xr:uid="{2EB469C9-628F-4DAD-823F-35100347A48F}"/>
    <cellStyle name="LabelTop 4 2 4" xfId="206" xr:uid="{EB4EACA9-2D0A-478C-A8B3-D06AD102D522}"/>
    <cellStyle name="LabelTop 4 2 4 2" xfId="402" xr:uid="{304BEAB7-5898-4171-A929-C92B6861CA44}"/>
    <cellStyle name="LabelTop 4 2 5" xfId="230" xr:uid="{42120693-4F65-4C1A-A2D0-BDABF5763AC8}"/>
    <cellStyle name="LabelTop 4 2 5 2" xfId="425" xr:uid="{4D0F43AA-8E70-4959-B2AA-655782FD2A40}"/>
    <cellStyle name="LabelTop 4 2 6" xfId="275" xr:uid="{38CC0E89-F7CE-4903-A0D4-D0355B47A2E2}"/>
    <cellStyle name="LabelTop 4 2 6 2" xfId="469" xr:uid="{758668FC-31D7-4C1A-AE9B-B702DB97A4C9}"/>
    <cellStyle name="LabelTop 4 2 7" xfId="289" xr:uid="{221AFB7F-27BF-4A05-A096-B1294143111A}"/>
    <cellStyle name="LabelTop 4 2 7 2" xfId="477" xr:uid="{B0B804F6-E7DC-480C-ACEE-D054CF73928C}"/>
    <cellStyle name="LabelTop 4 2 8" xfId="346" xr:uid="{E42CECBB-11A0-42F1-940D-6A083E46BA0E}"/>
    <cellStyle name="LabelTop 4 2 9" xfId="514" xr:uid="{2BC82571-8135-45E3-8813-A3EE41724B81}"/>
    <cellStyle name="LabelTop 4 3" xfId="146" xr:uid="{7410F87E-A26B-4652-99A8-6BC00DC99184}"/>
    <cellStyle name="LabelTop 4 3 2" xfId="209" xr:uid="{62899038-BE9A-4C5A-A36F-E8CD4DB67879}"/>
    <cellStyle name="LabelTop 4 3 2 2" xfId="405" xr:uid="{5AF765E7-023E-4DA5-9311-7CE93B473C10}"/>
    <cellStyle name="LabelTop 4 3 3" xfId="252" xr:uid="{8BC4195F-4125-4943-9DDF-A1DA9D9A84F9}"/>
    <cellStyle name="LabelTop 4 3 3 2" xfId="447" xr:uid="{14F84657-96AF-4571-93DF-B382DDBF5680}"/>
    <cellStyle name="LabelTop 4 3 4" xfId="311" xr:uid="{0AAE7941-F20B-4317-9452-4A8C612D7E4A}"/>
    <cellStyle name="LabelTop 4 3 4 2" xfId="488" xr:uid="{A1AE2D79-04BD-4435-9FE0-9D5EF14B1400}"/>
    <cellStyle name="LabelTop 4 3 5" xfId="358" xr:uid="{A85C0349-945F-402C-9925-E8E821274765}"/>
    <cellStyle name="LabelTop 4 3 6" xfId="540" xr:uid="{2013DD75-1C17-4B8F-BE03-C70B8D0A7969}"/>
    <cellStyle name="LabelTop 4 4" xfId="147" xr:uid="{24EA03FE-ACF3-4926-8081-610EC1416D63}"/>
    <cellStyle name="LabelTop 4 4 2" xfId="210" xr:uid="{73181561-47DC-4FAF-9969-300483628603}"/>
    <cellStyle name="LabelTop 4 4 2 2" xfId="406" xr:uid="{5853D7C8-6017-4219-A66C-633D7DCC0C8C}"/>
    <cellStyle name="LabelTop 4 4 3" xfId="236" xr:uid="{5B9E984E-734D-42C1-AE48-656B91BF0605}"/>
    <cellStyle name="LabelTop 4 4 3 2" xfId="431" xr:uid="{6B5723A4-F809-415C-80ED-F1CA2B713EC8}"/>
    <cellStyle name="LabelTop 4 4 4" xfId="295" xr:uid="{84F897D5-8C25-45A9-8675-1396466F9AFD}"/>
    <cellStyle name="LabelTop 4 4 4 2" xfId="480" xr:uid="{078DE75D-3D14-4964-92CD-271C76D051F0}"/>
    <cellStyle name="LabelTop 4 4 5" xfId="350" xr:uid="{80123B85-DB1B-4953-A81C-268AECCA4175}"/>
    <cellStyle name="LabelTop 4 4 6" xfId="524" xr:uid="{7A2B08DE-4022-475F-AD83-2DC35C5ACBC0}"/>
    <cellStyle name="LabelTop 4 5" xfId="205" xr:uid="{79475105-4A7C-4B3F-9EB6-D9466F659BA8}"/>
    <cellStyle name="LabelTop 4 5 2" xfId="401" xr:uid="{DFF985BA-F437-4283-BA43-FC37C4401E5D}"/>
    <cellStyle name="LabelTop 4 6" xfId="222" xr:uid="{F672B8B8-13EE-4095-BFE4-DE10E064AEF8}"/>
    <cellStyle name="LabelTop 4 6 2" xfId="417" xr:uid="{6CA7FCE8-9731-436E-8E4A-BAAE32215647}"/>
    <cellStyle name="LabelTop 4 7" xfId="267" xr:uid="{AFCAA4BE-2B4F-45A4-BC08-89EBC9EBE02A}"/>
    <cellStyle name="LabelTop 4 7 2" xfId="461" xr:uid="{01A30B9E-0FC4-4414-A9B1-AD2EBD77ADBB}"/>
    <cellStyle name="LabelTop 4 8" xfId="281" xr:uid="{869B79AF-038A-49BA-B5BD-B022B4636751}"/>
    <cellStyle name="LabelTop 4 8 2" xfId="473" xr:uid="{D22FE1FA-638D-4078-B769-F8B19BCBBC5E}"/>
    <cellStyle name="LabelTop 4 9" xfId="338" xr:uid="{BFE688B6-0F37-4B0B-B9C4-DFA4B22505AF}"/>
    <cellStyle name="LabelTop 5" xfId="148" xr:uid="{182422FD-B16D-4C1D-AEE3-22DFE3DBA029}"/>
    <cellStyle name="LabelTop 5 2" xfId="149" xr:uid="{06D5299F-B7A8-49ED-91D1-CCFA77A074F8}"/>
    <cellStyle name="LabelTop 5 2 2" xfId="212" xr:uid="{D3204C27-2EFB-4C66-9F96-65D347330657}"/>
    <cellStyle name="LabelTop 5 2 2 2" xfId="408" xr:uid="{6A1AF738-9702-4E2E-9D3B-E6750E67D701}"/>
    <cellStyle name="LabelTop 5 2 3" xfId="254" xr:uid="{0D4EA652-F1A5-404F-B19A-9BEEE8183035}"/>
    <cellStyle name="LabelTop 5 2 3 2" xfId="449" xr:uid="{8722AE80-E7E2-4444-BADE-3E834B5A07E6}"/>
    <cellStyle name="LabelTop 5 2 4" xfId="313" xr:uid="{12CC998E-97E4-4D57-81DA-60128C88F1AD}"/>
    <cellStyle name="LabelTop 5 2 4 2" xfId="489" xr:uid="{9E78FD23-B1A4-4B04-BA5F-5D745E95FB7F}"/>
    <cellStyle name="LabelTop 5 2 5" xfId="359" xr:uid="{A426E332-AAA0-43CD-A238-6E376AC1E771}"/>
    <cellStyle name="LabelTop 5 2 6" xfId="542" xr:uid="{4CFE437F-633C-46D5-8440-631BF45B0706}"/>
    <cellStyle name="LabelTop 5 3" xfId="150" xr:uid="{080B69FD-11E9-4E6A-BCDF-40F09E965B74}"/>
    <cellStyle name="LabelTop 5 3 2" xfId="213" xr:uid="{7E011BDA-0A9D-45AD-8D07-560749F8F5D2}"/>
    <cellStyle name="LabelTop 5 3 2 2" xfId="409" xr:uid="{1C44545F-EEF0-4822-827E-C4E8B31E4DF6}"/>
    <cellStyle name="LabelTop 5 3 3" xfId="242" xr:uid="{FEF7BC74-BA43-40E4-94C5-3B9ADBB5EBF4}"/>
    <cellStyle name="LabelTop 5 3 3 2" xfId="437" xr:uid="{39B6A6B3-74B0-4668-A978-0ABB602EE703}"/>
    <cellStyle name="LabelTop 5 3 4" xfId="301" xr:uid="{829B1129-2107-4B53-BF18-AF736B3B1557}"/>
    <cellStyle name="LabelTop 5 3 4 2" xfId="483" xr:uid="{DA7468C2-9B0F-443B-B55C-DE1527457B63}"/>
    <cellStyle name="LabelTop 5 3 5" xfId="353" xr:uid="{1AC8BCE4-AF8F-4B72-A37C-F311A777BF44}"/>
    <cellStyle name="LabelTop 5 3 6" xfId="530" xr:uid="{A967096D-C3C1-4A6D-9FEC-987F6F98353A}"/>
    <cellStyle name="LabelTop 5 4" xfId="211" xr:uid="{A127D2EB-79D3-47CF-8540-70EA387D5329}"/>
    <cellStyle name="LabelTop 5 4 2" xfId="407" xr:uid="{015B8D0A-D281-4BB2-9C96-F41A5E668C55}"/>
    <cellStyle name="LabelTop 5 5" xfId="224" xr:uid="{33726303-FE48-42AA-81AB-18FCA27862D7}"/>
    <cellStyle name="LabelTop 5 5 2" xfId="419" xr:uid="{4F78B4EB-A8B6-4C74-B962-4357583087A2}"/>
    <cellStyle name="LabelTop 5 6" xfId="269" xr:uid="{EED9DBDD-2B89-487A-B965-F4C2626323F2}"/>
    <cellStyle name="LabelTop 5 6 2" xfId="463" xr:uid="{5EDA51F2-093D-4249-B2E2-1639BF20F27C}"/>
    <cellStyle name="LabelTop 5 7" xfId="283" xr:uid="{A638FC9D-D25E-4AFD-BB4E-9567ABE819C8}"/>
    <cellStyle name="LabelTop 5 7 2" xfId="474" xr:uid="{34AF9D29-1E23-45D7-9C6D-B3F88543A0D6}"/>
    <cellStyle name="LabelTop 5 8" xfId="340" xr:uid="{69424BE4-01CC-42C0-BDCD-3283A4956C5B}"/>
    <cellStyle name="LabelTop 5 9" xfId="508" xr:uid="{98F98A67-9334-4D25-A70C-B3B3AA310FCB}"/>
    <cellStyle name="LabelTop 6" xfId="151" xr:uid="{BE5FF338-D8F1-48D8-80DF-86148BA8D24D}"/>
    <cellStyle name="LabelTop 6 2" xfId="214" xr:uid="{AE87360D-695A-4B81-A49E-31516D3D2611}"/>
    <cellStyle name="LabelTop 6 2 2" xfId="410" xr:uid="{AADBA047-8161-4B1C-8A1B-78A842805AC0}"/>
    <cellStyle name="LabelTop 6 3" xfId="232" xr:uid="{CA9FCAD1-E84C-45FB-AA37-99550F8907D2}"/>
    <cellStyle name="LabelTop 6 3 2" xfId="427" xr:uid="{2E8A7E96-A02D-4A54-8297-22CB75B1B55C}"/>
    <cellStyle name="LabelTop 6 4" xfId="291" xr:uid="{EF76F53D-3474-4DD7-98C4-F623A25E1E8C}"/>
    <cellStyle name="LabelTop 6 4 2" xfId="478" xr:uid="{68FB1588-7FD9-461D-B322-C3BDDBE34C3F}"/>
    <cellStyle name="LabelTop 6 5" xfId="348" xr:uid="{A6399703-8077-4CBA-9B64-AAAAA585AE8A}"/>
    <cellStyle name="LabelTop 6 6" xfId="516" xr:uid="{C3A029CE-D739-4916-B959-492123F5A0AC}"/>
    <cellStyle name="LabelTop 7" xfId="192" xr:uid="{991AE457-3D84-49AC-A1E7-C4978B2FE2CC}"/>
    <cellStyle name="LabelTop 7 2" xfId="388" xr:uid="{75AC2CF4-B20B-4F42-A849-D5738CF47056}"/>
    <cellStyle name="LabelTop 8" xfId="217" xr:uid="{CA1A74E8-5C40-4910-A830-022B8EECAB14}"/>
    <cellStyle name="LabelTop 8 2" xfId="412" xr:uid="{7AB92B00-7699-466D-B337-E488C5818C76}"/>
    <cellStyle name="Linked Cell" xfId="55" builtinId="24" customBuiltin="1"/>
    <cellStyle name="N" xfId="56" xr:uid="{00000000-0005-0000-0000-000037000000}"/>
    <cellStyle name="Neutral" xfId="57" builtinId="28" customBuiltin="1"/>
    <cellStyle name="Neutral 2" xfId="321" xr:uid="{C6FABABC-BA4F-46DF-AB5D-0B0E86ED84C5}"/>
    <cellStyle name="Normal" xfId="0" builtinId="0"/>
    <cellStyle name="Normal 10" xfId="58" xr:uid="{00000000-0005-0000-0000-00003A000000}"/>
    <cellStyle name="Normal 11" xfId="59" xr:uid="{00000000-0005-0000-0000-00003B000000}"/>
    <cellStyle name="Normal 11 2" xfId="84" xr:uid="{00000000-0005-0000-0000-00003C000000}"/>
    <cellStyle name="Normal 12" xfId="60" xr:uid="{00000000-0005-0000-0000-00003D000000}"/>
    <cellStyle name="Normal 13" xfId="61" xr:uid="{00000000-0005-0000-0000-00003E000000}"/>
    <cellStyle name="Normal 13 2" xfId="153" xr:uid="{C017FD6C-DDC6-48A6-AFD1-D5F27E35F28C}"/>
    <cellStyle name="Normal 13 2 2" xfId="154" xr:uid="{DC810016-DE8C-4FC0-83B7-53D068037E0B}"/>
    <cellStyle name="Normal 13 3" xfId="152" xr:uid="{EBBAAE22-2273-496E-9462-D912522CAC8D}"/>
    <cellStyle name="Normal 14" xfId="86" xr:uid="{00000000-0005-0000-0000-00003F000000}"/>
    <cellStyle name="Normal 14 2" xfId="322" xr:uid="{B2A33F40-DA5B-4E5B-82C2-CEE34D2132B0}"/>
    <cellStyle name="Normal 14 3" xfId="90" xr:uid="{9A5B871D-CEBC-4D64-8DDF-337ED53D32CF}"/>
    <cellStyle name="Normal 15" xfId="262" xr:uid="{04805B6F-09FB-42A4-955C-DD41453BA568}"/>
    <cellStyle name="Normal 16" xfId="88" xr:uid="{A9C7E412-7576-4430-A7AB-6122C89BE271}"/>
    <cellStyle name="Normal 2" xfId="62" xr:uid="{00000000-0005-0000-0000-000040000000}"/>
    <cellStyle name="Normal 2 2" xfId="63" xr:uid="{00000000-0005-0000-0000-000041000000}"/>
    <cellStyle name="Normal 2 3" xfId="89" xr:uid="{4DD48C31-3301-4DFA-AFA4-4AAAB943CF0C}"/>
    <cellStyle name="Normal 2 4" xfId="83" xr:uid="{00000000-0005-0000-0000-000042000000}"/>
    <cellStyle name="Normal 3" xfId="64" xr:uid="{00000000-0005-0000-0000-000043000000}"/>
    <cellStyle name="Normal 3 2" xfId="85" xr:uid="{00000000-0005-0000-0000-000044000000}"/>
    <cellStyle name="Normal 3 3" xfId="155" xr:uid="{0B3DA702-2B52-4D8B-95FC-AA5644976F54}"/>
    <cellStyle name="Normal 3 4" xfId="156" xr:uid="{1BD90F4F-0726-4735-959F-7A0B2F40FA80}"/>
    <cellStyle name="Normal 4" xfId="65" xr:uid="{00000000-0005-0000-0000-000045000000}"/>
    <cellStyle name="Normal 4 2" xfId="157" xr:uid="{BDD27D0E-7381-4C83-8CBE-6DAC47391D2F}"/>
    <cellStyle name="Normal 5" xfId="66" xr:uid="{00000000-0005-0000-0000-000046000000}"/>
    <cellStyle name="Normal 6" xfId="67" xr:uid="{00000000-0005-0000-0000-000047000000}"/>
    <cellStyle name="Normal 6 2" xfId="68" xr:uid="{00000000-0005-0000-0000-000048000000}"/>
    <cellStyle name="Normal 6 3" xfId="69" xr:uid="{00000000-0005-0000-0000-000049000000}"/>
    <cellStyle name="Normal 6 3 2" xfId="158" xr:uid="{43AA8669-6E41-4312-A3E2-2EF725C9A1A9}"/>
    <cellStyle name="Normal 7" xfId="70" xr:uid="{00000000-0005-0000-0000-00004A000000}"/>
    <cellStyle name="Normal 7 2" xfId="159" xr:uid="{68C5ABFA-B2B1-446E-8D6C-9647BCE6B701}"/>
    <cellStyle name="Normal 8" xfId="71" xr:uid="{00000000-0005-0000-0000-00004B000000}"/>
    <cellStyle name="Normal 8 2" xfId="160" xr:uid="{383DBA28-3AA0-4B4D-AFC2-82B9C6F60FB3}"/>
    <cellStyle name="Normal 9" xfId="72" xr:uid="{00000000-0005-0000-0000-00004C000000}"/>
    <cellStyle name="Normal 9 2" xfId="161" xr:uid="{68899154-E797-4BAC-9D5E-07B9C8ED57F7}"/>
    <cellStyle name="Note" xfId="73" builtinId="10" customBuiltin="1"/>
    <cellStyle name="Output" xfId="74" builtinId="21" customBuiltin="1"/>
    <cellStyle name="P" xfId="75" xr:uid="{00000000-0005-0000-0000-00004F000000}"/>
    <cellStyle name="Percent 2" xfId="327" xr:uid="{DF21401F-5C0E-43A2-A36F-4C03E14B84F4}"/>
    <cellStyle name="Style 383" xfId="76" xr:uid="{00000000-0005-0000-0000-000051000000}"/>
    <cellStyle name="Style 383 2" xfId="162" xr:uid="{A28F1F70-F588-4901-A222-D139752259A9}"/>
    <cellStyle name="Style 383 2 2" xfId="323" xr:uid="{B171BA63-4978-438A-B41B-CF8780B75AA1}"/>
    <cellStyle name="Style 383 2 2 2" xfId="493" xr:uid="{5C3A02B1-C10C-4A8F-9B10-4D24226CD715}"/>
    <cellStyle name="Style 383 2 3" xfId="331" xr:uid="{4655D021-285D-4DA2-A94B-C8810D1878AC}"/>
    <cellStyle name="Style 383 2 4" xfId="518" xr:uid="{397BC001-F11E-42FE-A9BB-14CCCB15C75F}"/>
    <cellStyle name="Style 383 3" xfId="330" xr:uid="{21681F03-97C7-4656-976D-810ABFFF2DC8}"/>
    <cellStyle name="Style 383 4" xfId="497" xr:uid="{C28E845B-A187-4C94-BF5C-154C686FCFE0}"/>
    <cellStyle name="Style 384" xfId="77" xr:uid="{00000000-0005-0000-0000-000052000000}"/>
    <cellStyle name="Style 384 2" xfId="163" xr:uid="{423A83A4-BBEB-43AC-87E9-355E4BD81C4E}"/>
    <cellStyle name="Style 384 2 2" xfId="324" xr:uid="{6214EDDE-2FE8-4B51-9451-E881898073C8}"/>
    <cellStyle name="Style 384 2 2 2" xfId="494" xr:uid="{082D38E7-AD42-4D43-A311-50768E7F06AD}"/>
    <cellStyle name="Style 384 2 3" xfId="363" xr:uid="{F4B70164-FCF7-4E2D-B909-27F7B5DBF2D9}"/>
    <cellStyle name="Style 384 2 4" xfId="519" xr:uid="{7A5CEFFE-7F47-46CB-929B-FAF1372D1457}"/>
    <cellStyle name="Style 384 3" xfId="329" xr:uid="{6DEC39BE-2FEA-4FD3-8DAB-CE73899AA689}"/>
    <cellStyle name="Style 384 4" xfId="498" xr:uid="{321DDD37-F2B0-44A6-A000-6DE6CD03A4A8}"/>
    <cellStyle name="Style 695" xfId="78" xr:uid="{00000000-0005-0000-0000-000053000000}"/>
    <cellStyle name="Style 695 2" xfId="164" xr:uid="{08590E64-7972-4B8C-99C0-3B18729544C0}"/>
    <cellStyle name="Style 695 2 2" xfId="325" xr:uid="{DECC8617-C716-4284-974F-95B45F0A6089}"/>
    <cellStyle name="Style 695 2 2 2" xfId="495" xr:uid="{00ABB646-3B19-4DC8-946D-A4905768F87E}"/>
    <cellStyle name="Style 695 2 3" xfId="333" xr:uid="{AE31182B-82CA-43F9-8916-52D215F6EF7B}"/>
    <cellStyle name="Style 695 2 4" xfId="520" xr:uid="{9A360726-4AEC-4A2C-97F8-22827CCD4245}"/>
    <cellStyle name="Style 695 3" xfId="328" xr:uid="{3D3EF4F8-8510-44FB-BCBE-966E159B9488}"/>
    <cellStyle name="Style 695 4" xfId="499" xr:uid="{6BEA6D6A-2298-450D-AE86-5039694BA932}"/>
    <cellStyle name="Style 698" xfId="79" xr:uid="{00000000-0005-0000-0000-000054000000}"/>
    <cellStyle name="Style 698 2" xfId="165" xr:uid="{36435DC9-34CD-4AEF-8453-4673930A37C7}"/>
    <cellStyle name="Style 698 2 2" xfId="326" xr:uid="{31AC8A0D-85BD-47E4-AD81-211E3E2EAC2F}"/>
    <cellStyle name="Style 698 2 2 2" xfId="496" xr:uid="{06660BB3-52C6-4B82-9BBE-38A87AF34EB7}"/>
    <cellStyle name="Style 698 2 3" xfId="332" xr:uid="{C31A7F59-E0F7-4330-9B10-F9F09AFE90E2}"/>
    <cellStyle name="Style 698 2 4" xfId="521" xr:uid="{B1870C98-6D9A-46B8-BA3E-CCEF846E2ECE}"/>
    <cellStyle name="Style 698 3" xfId="364" xr:uid="{B5FC4533-0C53-4EFE-AE06-A6E8A1140CF6}"/>
    <cellStyle name="Style 698 4" xfId="500" xr:uid="{547FD07F-45F0-4C71-89C7-D444591E1EEE}"/>
    <cellStyle name="Title" xfId="80" builtinId="15" customBuiltin="1"/>
    <cellStyle name="Total" xfId="81" builtinId="25" customBuiltin="1"/>
    <cellStyle name="Total 2" xfId="166" xr:uid="{548B2AF2-7417-4806-9198-B30F637F1E5A}"/>
    <cellStyle name="Total 3" xfId="167" xr:uid="{2BA985C9-3D72-4B9C-8D9F-A10A1F542770}"/>
    <cellStyle name="Total 4" xfId="168" xr:uid="{C6BBE328-2295-4E46-B210-952F13FACD08}"/>
    <cellStyle name="Warning Text" xfId="82" builtinId="11" customBuiltin="1"/>
  </cellStyles>
  <dxfs count="20">
    <dxf>
      <fill>
        <patternFill>
          <bgColor rgb="FFC0C0C0"/>
        </patternFill>
      </fill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0C0C0"/>
        </patternFill>
      </fill>
    </dxf>
    <dxf>
      <font>
        <condense val="0"/>
        <extend val="0"/>
        <color indexed="16"/>
      </font>
      <fill>
        <patternFill>
          <bgColor indexed="41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condense val="0"/>
        <extend val="0"/>
        <color indexed="10"/>
      </font>
      <fill>
        <patternFill>
          <bgColor indexed="44"/>
        </patternFill>
      </fill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>
          <bgColor rgb="FFC0C0C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20" Type="http://schemas.openxmlformats.org/officeDocument/2006/relationships/customXml" Target="../customXml/item5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PopulationServed!$A$30</c:f>
              <c:strCache>
                <c:ptCount val="1"/>
                <c:pt idx="0">
                  <c:v>Total Dwellings Units Served</c:v>
                </c:pt>
              </c:strCache>
            </c:strRef>
          </c:tx>
          <c:spPr>
            <a:solidFill>
              <a:srgbClr val="00B0F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PopulationServed!$A$31:$E$31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PopulationServed!$A$32:$E$32</c:f>
              <c:numCache>
                <c:formatCode>#,##0</c:formatCode>
                <c:ptCount val="5"/>
                <c:pt idx="0">
                  <c:v>2003</c:v>
                </c:pt>
                <c:pt idx="1">
                  <c:v>2013</c:v>
                </c:pt>
                <c:pt idx="2">
                  <c:v>2012</c:v>
                </c:pt>
                <c:pt idx="3">
                  <c:v>2022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5B-47A1-8DC2-F2933019EA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75014104"/>
        <c:axId val="675014888"/>
      </c:barChart>
      <c:catAx>
        <c:axId val="6750141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75014888"/>
        <c:crosses val="autoZero"/>
        <c:auto val="1"/>
        <c:lblAlgn val="ctr"/>
        <c:lblOffset val="100"/>
        <c:noMultiLvlLbl val="0"/>
      </c:catAx>
      <c:valAx>
        <c:axId val="675014888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75014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PopulationServed!$A$51</c:f>
              <c:strCache>
                <c:ptCount val="1"/>
                <c:pt idx="0">
                  <c:v>Population Served</c:v>
                </c:pt>
              </c:strCache>
            </c:strRef>
          </c:tx>
          <c:spPr>
            <a:solidFill>
              <a:srgbClr val="00B05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PopulationServed!$A$31:$E$31</c:f>
              <c:numCache>
                <c:formatCode>General</c:formatCod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numCache>
            </c:numRef>
          </c:cat>
          <c:val>
            <c:numRef>
              <c:f>PopulationServed!$A$53:$E$53</c:f>
              <c:numCache>
                <c:formatCode>#,##0</c:formatCode>
                <c:ptCount val="5"/>
                <c:pt idx="0">
                  <c:v>6150</c:v>
                </c:pt>
                <c:pt idx="1">
                  <c:v>6254</c:v>
                </c:pt>
                <c:pt idx="2">
                  <c:v>6354</c:v>
                </c:pt>
                <c:pt idx="3">
                  <c:v>6605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5B-435E-8258-BF8A0C97B9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607973904"/>
        <c:axId val="607974296"/>
      </c:barChart>
      <c:catAx>
        <c:axId val="60797390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607974296"/>
        <c:crosses val="autoZero"/>
        <c:auto val="1"/>
        <c:lblAlgn val="ctr"/>
        <c:lblOffset val="100"/>
        <c:noMultiLvlLbl val="0"/>
      </c:catAx>
      <c:valAx>
        <c:axId val="60797429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6079739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 orientation="landscape"/>
  </c:printSettings>
</c:chartSpace>
</file>

<file path=xl/ctrlProps/ctrlProp1.xml><?xml version="1.0" encoding="utf-8"?>
<formControlPr xmlns="http://schemas.microsoft.com/office/spreadsheetml/2009/9/main" objectType="Drop" dropLines="15" dropStyle="combo" dx="20" fmlaLink="$I$1" fmlaRange="'REQPOP 2024'!$B$7:$B$228" noThreeD="1" sel="1" val="207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32</xdr:row>
      <xdr:rowOff>137160</xdr:rowOff>
    </xdr:from>
    <xdr:to>
      <xdr:col>6</xdr:col>
      <xdr:colOff>449580</xdr:colOff>
      <xdr:row>47</xdr:row>
      <xdr:rowOff>167640</xdr:rowOff>
    </xdr:to>
    <xdr:graphicFrame macro="">
      <xdr:nvGraphicFramePr>
        <xdr:cNvPr id="65540" name="Chart 2">
          <a:extLst>
            <a:ext uri="{FF2B5EF4-FFF2-40B4-BE49-F238E27FC236}">
              <a16:creationId xmlns:a16="http://schemas.microsoft.com/office/drawing/2014/main" id="{00000000-0008-0000-0000-0000040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55</xdr:row>
      <xdr:rowOff>0</xdr:rowOff>
    </xdr:from>
    <xdr:to>
      <xdr:col>6</xdr:col>
      <xdr:colOff>434340</xdr:colOff>
      <xdr:row>70</xdr:row>
      <xdr:rowOff>30480</xdr:rowOff>
    </xdr:to>
    <xdr:graphicFrame macro="">
      <xdr:nvGraphicFramePr>
        <xdr:cNvPr id="65541" name="Chart 3">
          <a:extLst>
            <a:ext uri="{FF2B5EF4-FFF2-40B4-BE49-F238E27FC236}">
              <a16:creationId xmlns:a16="http://schemas.microsoft.com/office/drawing/2014/main" id="{00000000-0008-0000-0000-0000050001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6</xdr:row>
          <xdr:rowOff>0</xdr:rowOff>
        </xdr:from>
        <xdr:to>
          <xdr:col>8</xdr:col>
          <xdr:colOff>590550</xdr:colOff>
          <xdr:row>8</xdr:row>
          <xdr:rowOff>9525</xdr:rowOff>
        </xdr:to>
        <xdr:sp macro="" textlink="">
          <xdr:nvSpPr>
            <xdr:cNvPr id="65537" name="Drop Down 1" hidden="1">
              <a:extLst>
                <a:ext uri="{63B3BB69-23CF-44E3-9099-C40C66FF867C}">
                  <a14:compatExt spid="_x0000_s65537"/>
                </a:ext>
                <a:ext uri="{FF2B5EF4-FFF2-40B4-BE49-F238E27FC236}">
                  <a16:creationId xmlns:a16="http://schemas.microsoft.com/office/drawing/2014/main" id="{00000000-0008-0000-0000-0000010001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112058</xdr:colOff>
      <xdr:row>54</xdr:row>
      <xdr:rowOff>22413</xdr:rowOff>
    </xdr:from>
    <xdr:to>
      <xdr:col>12</xdr:col>
      <xdr:colOff>582705</xdr:colOff>
      <xdr:row>54</xdr:row>
      <xdr:rowOff>156883</xdr:rowOff>
    </xdr:to>
    <xdr:sp macro="" textlink="">
      <xdr:nvSpPr>
        <xdr:cNvPr id="2" name="Arrow: Lef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 bwMode="auto">
        <a:xfrm>
          <a:off x="6510617" y="9424148"/>
          <a:ext cx="470647" cy="134470"/>
        </a:xfrm>
        <a:prstGeom prst="leftArrow">
          <a:avLst/>
        </a:prstGeom>
        <a:solidFill>
          <a:srgbClr val="FFFF99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Files\Public%20Supply%20Annual%20Report\2012\2012_PSAR_Data_Entr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-1_2012"/>
      <sheetName val="A-2_2012"/>
      <sheetName val="Table_E1_2012"/>
      <sheetName val="A-3_2012"/>
      <sheetName val="WaterLossAudit"/>
      <sheetName val="WaterLossAuditQuestions"/>
      <sheetName val="PSAR_PARTs_AB"/>
      <sheetName val="PS_SERVICEAREAS_INFO"/>
      <sheetName val="EvaluationChecklist"/>
      <sheetName val="Form_Feed"/>
      <sheetName val="Corrections_Print_Attach_PSAR"/>
      <sheetName val="PopulationWorksheets"/>
      <sheetName val="COUNTY_PERMPPH"/>
      <sheetName val="REQPOP 2012"/>
      <sheetName val="2010 Census Variables"/>
      <sheetName val="Total_DU_from_2001"/>
      <sheetName val="PSLST_PMP"/>
      <sheetName val="112912_PSSA_Rooms"/>
      <sheetName val="Occ Rates 19982011"/>
      <sheetName val="Gross_Use_20012011"/>
      <sheetName val="Population_20012011"/>
      <sheetName val="A-1_121012"/>
      <sheetName val="A-2_121012"/>
      <sheetName val="Unadjusted Gross Per Capitas"/>
      <sheetName val="Old FormatDwellings_01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namedSheetViews/namedSheetView1.xml><?xml version="1.0" encoding="utf-8"?>
<namedSheetViews xmlns="http://schemas.microsoft.com/office/spreadsheetml/2019/namedsheetviews" xmlns:x="http://schemas.openxmlformats.org/spreadsheetml/2006/main" xmlns:mc="http://schemas.openxmlformats.org/markup-compatibility/2006" xmlns:x14="http://schemas.microsoft.com/office/spreadsheetml/2009/9/main" mc:Ignorable="x14">
  <namedSheetView name="View1" id="{8471F974-7D55-4679-86DF-987074BECFCB}">
    <nsvFilter filterId="{00000000-0001-0000-0800-000000000000}" ref="B4:AA4" tableId="0"/>
  </namedSheetView>
</namedSheetView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Relationship Id="rId4" Type="http://schemas.microsoft.com/office/2019/04/relationships/namedSheetView" Target="../namedSheetViews/namedSheetView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zoomScaleNormal="100" workbookViewId="0"/>
  </sheetViews>
  <sheetFormatPr defaultRowHeight="14.25" x14ac:dyDescent="0.2"/>
  <cols>
    <col min="3" max="3" width="9.125" customWidth="1"/>
    <col min="5" max="5" width="9.625" customWidth="1"/>
  </cols>
  <sheetData>
    <row r="1" spans="1:9" x14ac:dyDescent="0.2">
      <c r="A1" s="88" t="s">
        <v>0</v>
      </c>
      <c r="I1">
        <v>1</v>
      </c>
    </row>
    <row r="2" spans="1:9" x14ac:dyDescent="0.2">
      <c r="A2" s="88" t="s">
        <v>1</v>
      </c>
    </row>
    <row r="3" spans="1:9" x14ac:dyDescent="0.2">
      <c r="A3" s="88" t="s">
        <v>2</v>
      </c>
    </row>
    <row r="4" spans="1:9" x14ac:dyDescent="0.2">
      <c r="A4" s="88" t="s">
        <v>3</v>
      </c>
    </row>
    <row r="6" spans="1:9" x14ac:dyDescent="0.2">
      <c r="A6" s="88" t="s">
        <v>4</v>
      </c>
    </row>
    <row r="11" spans="1:9" ht="15" thickBot="1" x14ac:dyDescent="0.25">
      <c r="E11" s="133" t="s">
        <v>5</v>
      </c>
    </row>
    <row r="12" spans="1:9" ht="15.75" thickTop="1" thickBot="1" x14ac:dyDescent="0.25">
      <c r="A12" t="s">
        <v>6</v>
      </c>
      <c r="E12" s="16"/>
    </row>
    <row r="13" spans="1:9" ht="15" thickTop="1" x14ac:dyDescent="0.2">
      <c r="E13" s="90"/>
    </row>
    <row r="14" spans="1:9" x14ac:dyDescent="0.2">
      <c r="A14" s="126" t="s">
        <v>7</v>
      </c>
      <c r="E14" s="90"/>
    </row>
    <row r="15" spans="1:9" x14ac:dyDescent="0.2">
      <c r="E15" s="90"/>
    </row>
    <row r="16" spans="1:9" x14ac:dyDescent="0.2">
      <c r="E16" s="90"/>
    </row>
    <row r="17" spans="1:10" x14ac:dyDescent="0.2">
      <c r="H17" s="91"/>
      <c r="I17" s="91"/>
      <c r="J17" s="91"/>
    </row>
    <row r="18" spans="1:10" ht="15" x14ac:dyDescent="0.25">
      <c r="A18" s="54" t="s">
        <v>8</v>
      </c>
      <c r="F18" s="54"/>
      <c r="J18" s="90"/>
    </row>
    <row r="20" spans="1:10" ht="15" thickBot="1" x14ac:dyDescent="0.25">
      <c r="C20" s="92" t="s">
        <v>9</v>
      </c>
      <c r="D20" s="89"/>
      <c r="E20" s="92"/>
    </row>
    <row r="21" spans="1:10" ht="15" thickBot="1" x14ac:dyDescent="0.25">
      <c r="D21" s="25">
        <f>IF(E12=0,0,'Indexed B-Service Area Summary'!I143)</f>
        <v>0</v>
      </c>
    </row>
    <row r="24" spans="1:10" x14ac:dyDescent="0.2">
      <c r="A24" s="88" t="s">
        <v>10</v>
      </c>
    </row>
    <row r="25" spans="1:10" x14ac:dyDescent="0.2">
      <c r="A25" s="88" t="s">
        <v>11</v>
      </c>
    </row>
    <row r="26" spans="1:10" x14ac:dyDescent="0.2">
      <c r="A26" s="88" t="s">
        <v>12</v>
      </c>
    </row>
    <row r="27" spans="1:10" x14ac:dyDescent="0.2">
      <c r="A27" s="88"/>
    </row>
    <row r="28" spans="1:10" ht="18.75" x14ac:dyDescent="0.3">
      <c r="A28" s="93" t="s">
        <v>13</v>
      </c>
    </row>
    <row r="30" spans="1:10" ht="18.75" x14ac:dyDescent="0.3">
      <c r="A30" s="93" t="s">
        <v>14</v>
      </c>
    </row>
    <row r="31" spans="1:10" x14ac:dyDescent="0.2">
      <c r="A31" s="94">
        <v>2020</v>
      </c>
      <c r="B31" s="94">
        <v>2021</v>
      </c>
      <c r="C31" s="94">
        <v>2022</v>
      </c>
      <c r="D31" s="94">
        <v>2023</v>
      </c>
      <c r="E31" s="94">
        <v>2024</v>
      </c>
      <c r="F31" s="94" t="s">
        <v>15</v>
      </c>
    </row>
    <row r="32" spans="1:10" x14ac:dyDescent="0.2">
      <c r="A32" s="95">
        <f>INDEX(DWELLTMINUS4,index)</f>
        <v>2003</v>
      </c>
      <c r="B32" s="95">
        <f>INDEX(DWELLTMINUS3,index)</f>
        <v>2013</v>
      </c>
      <c r="C32" s="95">
        <f>INDEX(DWELLTMINUS2,index)</f>
        <v>2012</v>
      </c>
      <c r="D32" s="95">
        <f>INDEX(DWELLTMINUS1,index)</f>
        <v>2022</v>
      </c>
      <c r="E32" s="95">
        <f>$E$12</f>
        <v>0</v>
      </c>
      <c r="F32" s="95">
        <f>AVERAGEIF(A32:E32,"&gt;0",A32:E32)</f>
        <v>2012.5</v>
      </c>
    </row>
    <row r="51" spans="1:6" ht="18.75" x14ac:dyDescent="0.3">
      <c r="A51" s="93" t="s">
        <v>16</v>
      </c>
    </row>
    <row r="52" spans="1:6" x14ac:dyDescent="0.2">
      <c r="A52" s="94">
        <v>2020</v>
      </c>
      <c r="B52" s="94">
        <v>2021</v>
      </c>
      <c r="C52" s="94">
        <v>2022</v>
      </c>
      <c r="D52" s="94">
        <v>2023</v>
      </c>
      <c r="E52" s="94">
        <v>2024</v>
      </c>
      <c r="F52" s="94" t="s">
        <v>15</v>
      </c>
    </row>
    <row r="53" spans="1:6" x14ac:dyDescent="0.2">
      <c r="A53" s="95">
        <f>INDEX(POPTMINUS4,index)</f>
        <v>6150</v>
      </c>
      <c r="B53" s="95">
        <f>INDEX(POPTMINUS3,index)</f>
        <v>6254</v>
      </c>
      <c r="C53" s="95">
        <f>INDEX(POPTMINUS2,index)</f>
        <v>6354</v>
      </c>
      <c r="D53" s="95">
        <f>INDEX(POPTMINUS1,index)</f>
        <v>6605</v>
      </c>
      <c r="E53" s="95">
        <f>$D$21</f>
        <v>0</v>
      </c>
      <c r="F53" s="95">
        <f>AVERAGEIF(A53:E53,"&gt;0",A53:E53)</f>
        <v>6340.75</v>
      </c>
    </row>
    <row r="74" spans="1:4" x14ac:dyDescent="0.2">
      <c r="A74" s="154" t="s">
        <v>17</v>
      </c>
      <c r="B74" s="154"/>
      <c r="C74" s="181">
        <f ca="1">TODAY()</f>
        <v>45742</v>
      </c>
      <c r="D74" s="182"/>
    </row>
  </sheetData>
  <mergeCells count="1">
    <mergeCell ref="C74:D74"/>
  </mergeCells>
  <pageMargins left="0.7" right="0.7" top="0.75" bottom="0.75" header="0.3" footer="0.3"/>
  <pageSetup scale="65" orientation="portrait" r:id="rId1"/>
  <headerFooter>
    <oddHeader>&amp;F</oddHeader>
    <oddFooter>Page &amp;P of &amp;N</oddFooter>
  </headerFooter>
  <rowBreaks count="1" manualBreakCount="1">
    <brk id="75" max="8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5537" r:id="rId4" name="Drop Down 1">
              <controlPr defaultSize="0" autoLine="0" autoPict="0">
                <anchor moveWithCells="1">
                  <from>
                    <xdr:col>0</xdr:col>
                    <xdr:colOff>0</xdr:colOff>
                    <xdr:row>6</xdr:row>
                    <xdr:rowOff>0</xdr:rowOff>
                  </from>
                  <to>
                    <xdr:col>8</xdr:col>
                    <xdr:colOff>590550</xdr:colOff>
                    <xdr:row>8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E115"/>
  <sheetViews>
    <sheetView workbookViewId="0"/>
  </sheetViews>
  <sheetFormatPr defaultColWidth="8.75" defaultRowHeight="15.75" x14ac:dyDescent="0.25"/>
  <cols>
    <col min="1" max="1" width="16.125" style="153" bestFit="1" customWidth="1"/>
    <col min="2" max="2" width="43" style="153" bestFit="1" customWidth="1"/>
    <col min="3" max="3" width="14.25" style="153" bestFit="1" customWidth="1"/>
    <col min="4" max="4" width="10.875" style="153" bestFit="1" customWidth="1"/>
    <col min="5" max="16384" width="8.75" style="123"/>
  </cols>
  <sheetData>
    <row r="1" spans="1:4" x14ac:dyDescent="0.25">
      <c r="A1" s="153" t="s">
        <v>956</v>
      </c>
      <c r="B1" s="153" t="s">
        <v>957</v>
      </c>
      <c r="C1" s="153" t="s">
        <v>755</v>
      </c>
      <c r="D1" s="153" t="s">
        <v>958</v>
      </c>
    </row>
    <row r="2" spans="1:4" x14ac:dyDescent="0.25">
      <c r="A2" s="153">
        <v>718</v>
      </c>
      <c r="B2" s="153" t="s">
        <v>339</v>
      </c>
      <c r="C2" s="153" t="s">
        <v>337</v>
      </c>
      <c r="D2" s="153">
        <v>330</v>
      </c>
    </row>
    <row r="3" spans="1:4" x14ac:dyDescent="0.25">
      <c r="A3" s="153">
        <v>871</v>
      </c>
      <c r="B3" s="153" t="s">
        <v>341</v>
      </c>
      <c r="C3" s="153" t="s">
        <v>337</v>
      </c>
      <c r="D3" s="153">
        <v>984</v>
      </c>
    </row>
    <row r="4" spans="1:4" x14ac:dyDescent="0.25">
      <c r="A4" s="153">
        <v>1512</v>
      </c>
      <c r="B4" s="153" t="s">
        <v>343</v>
      </c>
      <c r="C4" s="153" t="s">
        <v>337</v>
      </c>
      <c r="D4" s="153">
        <v>34</v>
      </c>
    </row>
    <row r="5" spans="1:4" x14ac:dyDescent="0.25">
      <c r="A5" s="153">
        <v>3522</v>
      </c>
      <c r="B5" s="153" t="s">
        <v>345</v>
      </c>
      <c r="C5" s="153" t="s">
        <v>337</v>
      </c>
      <c r="D5" s="153">
        <v>56</v>
      </c>
    </row>
    <row r="6" spans="1:4" x14ac:dyDescent="0.25">
      <c r="A6" s="153">
        <v>7104</v>
      </c>
      <c r="B6" s="153" t="s">
        <v>345</v>
      </c>
      <c r="C6" s="153" t="s">
        <v>337</v>
      </c>
      <c r="D6" s="153">
        <v>1296</v>
      </c>
    </row>
    <row r="7" spans="1:4" x14ac:dyDescent="0.25">
      <c r="A7" s="153">
        <v>7768</v>
      </c>
      <c r="B7" s="153" t="s">
        <v>348</v>
      </c>
      <c r="C7" s="153" t="s">
        <v>337</v>
      </c>
      <c r="D7" s="153">
        <v>75</v>
      </c>
    </row>
    <row r="8" spans="1:4" x14ac:dyDescent="0.25">
      <c r="A8" s="153">
        <v>99913</v>
      </c>
      <c r="B8" s="153" t="s">
        <v>352</v>
      </c>
      <c r="C8" s="153" t="s">
        <v>337</v>
      </c>
      <c r="D8" s="153">
        <v>3</v>
      </c>
    </row>
    <row r="9" spans="1:4" x14ac:dyDescent="0.25">
      <c r="A9" s="153">
        <v>99916</v>
      </c>
      <c r="B9" s="153" t="s">
        <v>354</v>
      </c>
      <c r="C9" s="153" t="s">
        <v>337</v>
      </c>
      <c r="D9" s="153">
        <v>5</v>
      </c>
    </row>
    <row r="10" spans="1:4" x14ac:dyDescent="0.25">
      <c r="A10" s="153">
        <v>207</v>
      </c>
      <c r="B10" s="153" t="s">
        <v>357</v>
      </c>
      <c r="C10" s="153" t="s">
        <v>355</v>
      </c>
      <c r="D10" s="153">
        <v>558</v>
      </c>
    </row>
    <row r="11" spans="1:4" x14ac:dyDescent="0.25">
      <c r="A11" s="153">
        <v>419</v>
      </c>
      <c r="B11" s="153" t="s">
        <v>359</v>
      </c>
      <c r="C11" s="153" t="s">
        <v>355</v>
      </c>
      <c r="D11" s="153">
        <v>151</v>
      </c>
    </row>
    <row r="12" spans="1:4" x14ac:dyDescent="0.25">
      <c r="A12" s="153">
        <v>729</v>
      </c>
      <c r="B12" s="153" t="s">
        <v>361</v>
      </c>
      <c r="C12" s="153" t="s">
        <v>355</v>
      </c>
      <c r="D12" s="153">
        <v>1</v>
      </c>
    </row>
    <row r="13" spans="1:4" x14ac:dyDescent="0.25">
      <c r="A13" s="153">
        <v>1118</v>
      </c>
      <c r="B13" s="153" t="s">
        <v>363</v>
      </c>
      <c r="C13" s="153" t="s">
        <v>355</v>
      </c>
      <c r="D13" s="153">
        <v>8</v>
      </c>
    </row>
    <row r="14" spans="1:4" x14ac:dyDescent="0.25">
      <c r="A14" s="153">
        <v>2842</v>
      </c>
      <c r="B14" s="153" t="s">
        <v>361</v>
      </c>
      <c r="C14" s="153" t="s">
        <v>355</v>
      </c>
      <c r="D14" s="153">
        <v>15</v>
      </c>
    </row>
    <row r="15" spans="1:4" x14ac:dyDescent="0.25">
      <c r="A15" s="153">
        <v>4153</v>
      </c>
      <c r="B15" s="153" t="s">
        <v>370</v>
      </c>
      <c r="C15" s="153" t="s">
        <v>355</v>
      </c>
      <c r="D15" s="153">
        <v>11</v>
      </c>
    </row>
    <row r="16" spans="1:4" x14ac:dyDescent="0.25">
      <c r="A16" s="153">
        <v>4406</v>
      </c>
      <c r="B16" s="153" t="s">
        <v>372</v>
      </c>
      <c r="C16" s="153" t="s">
        <v>355</v>
      </c>
      <c r="D16" s="153">
        <v>285</v>
      </c>
    </row>
    <row r="17" spans="1:4" x14ac:dyDescent="0.25">
      <c r="A17" s="153">
        <v>4753</v>
      </c>
      <c r="B17" s="153" t="s">
        <v>374</v>
      </c>
      <c r="C17" s="153" t="s">
        <v>355</v>
      </c>
      <c r="D17" s="153">
        <v>1</v>
      </c>
    </row>
    <row r="18" spans="1:4" x14ac:dyDescent="0.25">
      <c r="A18" s="153">
        <v>7121</v>
      </c>
      <c r="B18" s="153" t="s">
        <v>361</v>
      </c>
      <c r="C18" s="153" t="s">
        <v>355</v>
      </c>
      <c r="D18" s="153">
        <v>141</v>
      </c>
    </row>
    <row r="19" spans="1:4" x14ac:dyDescent="0.25">
      <c r="A19" s="153">
        <v>7879</v>
      </c>
      <c r="B19" s="153" t="s">
        <v>361</v>
      </c>
      <c r="C19" s="153" t="s">
        <v>355</v>
      </c>
      <c r="D19" s="153">
        <v>1</v>
      </c>
    </row>
    <row r="20" spans="1:4" x14ac:dyDescent="0.25">
      <c r="A20" s="153">
        <v>9791</v>
      </c>
      <c r="B20" s="153" t="s">
        <v>361</v>
      </c>
      <c r="C20" s="153" t="s">
        <v>355</v>
      </c>
      <c r="D20" s="153">
        <v>17</v>
      </c>
    </row>
    <row r="21" spans="1:4" x14ac:dyDescent="0.25">
      <c r="A21" s="153">
        <v>20230</v>
      </c>
      <c r="B21" s="153" t="s">
        <v>390</v>
      </c>
      <c r="C21" s="153" t="s">
        <v>355</v>
      </c>
      <c r="D21" s="153">
        <v>251</v>
      </c>
    </row>
    <row r="22" spans="1:4" x14ac:dyDescent="0.25">
      <c r="A22" s="153">
        <v>4725</v>
      </c>
      <c r="B22" s="153" t="s">
        <v>393</v>
      </c>
      <c r="C22" s="153" t="s">
        <v>391</v>
      </c>
      <c r="D22" s="153">
        <v>35</v>
      </c>
    </row>
    <row r="23" spans="1:4" x14ac:dyDescent="0.25">
      <c r="A23" s="153">
        <v>20457</v>
      </c>
      <c r="B23" s="153" t="s">
        <v>395</v>
      </c>
      <c r="C23" s="153" t="s">
        <v>391</v>
      </c>
      <c r="D23" s="153">
        <v>129</v>
      </c>
    </row>
    <row r="24" spans="1:4" x14ac:dyDescent="0.25">
      <c r="A24" s="153">
        <v>4461</v>
      </c>
      <c r="B24" s="153" t="s">
        <v>400</v>
      </c>
      <c r="C24" s="153" t="s">
        <v>396</v>
      </c>
      <c r="D24" s="153">
        <v>35</v>
      </c>
    </row>
    <row r="25" spans="1:4" x14ac:dyDescent="0.25">
      <c r="A25" s="153">
        <v>13026</v>
      </c>
      <c r="B25" s="153" t="s">
        <v>406</v>
      </c>
      <c r="C25" s="153" t="s">
        <v>396</v>
      </c>
      <c r="D25" s="153">
        <v>50</v>
      </c>
    </row>
    <row r="26" spans="1:4" x14ac:dyDescent="0.25">
      <c r="A26" s="153">
        <v>5789</v>
      </c>
      <c r="B26" s="153" t="s">
        <v>411</v>
      </c>
      <c r="C26" s="153" t="s">
        <v>407</v>
      </c>
      <c r="D26" s="153">
        <v>1278</v>
      </c>
    </row>
    <row r="27" spans="1:4" x14ac:dyDescent="0.25">
      <c r="A27" s="153">
        <v>7627</v>
      </c>
      <c r="B27" s="153" t="s">
        <v>413</v>
      </c>
      <c r="C27" s="153" t="s">
        <v>407</v>
      </c>
      <c r="D27" s="153">
        <v>69</v>
      </c>
    </row>
    <row r="28" spans="1:4" x14ac:dyDescent="0.25">
      <c r="A28" s="153">
        <v>4167</v>
      </c>
      <c r="B28" s="153" t="s">
        <v>416</v>
      </c>
      <c r="C28" s="153" t="s">
        <v>414</v>
      </c>
      <c r="D28" s="153">
        <v>1</v>
      </c>
    </row>
    <row r="29" spans="1:4" x14ac:dyDescent="0.25">
      <c r="A29" s="153">
        <v>4492</v>
      </c>
      <c r="B29" s="153" t="s">
        <v>418</v>
      </c>
      <c r="C29" s="153" t="s">
        <v>414</v>
      </c>
      <c r="D29" s="153">
        <v>829</v>
      </c>
    </row>
    <row r="30" spans="1:4" x14ac:dyDescent="0.25">
      <c r="A30" s="153">
        <v>4980</v>
      </c>
      <c r="B30" s="153" t="s">
        <v>422</v>
      </c>
      <c r="C30" s="153" t="s">
        <v>414</v>
      </c>
      <c r="D30" s="153">
        <v>4</v>
      </c>
    </row>
    <row r="31" spans="1:4" x14ac:dyDescent="0.25">
      <c r="A31" s="153">
        <v>5270</v>
      </c>
      <c r="B31" s="153" t="s">
        <v>424</v>
      </c>
      <c r="C31" s="153" t="s">
        <v>414</v>
      </c>
      <c r="D31" s="153">
        <v>274</v>
      </c>
    </row>
    <row r="32" spans="1:4" x14ac:dyDescent="0.25">
      <c r="A32" s="153">
        <v>6029</v>
      </c>
      <c r="B32" s="153" t="s">
        <v>426</v>
      </c>
      <c r="C32" s="153" t="s">
        <v>414</v>
      </c>
      <c r="D32" s="153">
        <v>181</v>
      </c>
    </row>
    <row r="33" spans="1:4" x14ac:dyDescent="0.25">
      <c r="A33" s="153">
        <v>13099</v>
      </c>
      <c r="B33" s="153" t="s">
        <v>437</v>
      </c>
      <c r="C33" s="153" t="s">
        <v>414</v>
      </c>
      <c r="D33" s="153">
        <v>5</v>
      </c>
    </row>
    <row r="34" spans="1:4" x14ac:dyDescent="0.25">
      <c r="A34" s="153">
        <v>450</v>
      </c>
      <c r="B34" s="153" t="s">
        <v>442</v>
      </c>
      <c r="C34" s="153" t="s">
        <v>440</v>
      </c>
      <c r="D34" s="153">
        <v>938</v>
      </c>
    </row>
    <row r="35" spans="1:4" x14ac:dyDescent="0.25">
      <c r="A35" s="153">
        <v>1776</v>
      </c>
      <c r="B35" s="153" t="s">
        <v>444</v>
      </c>
      <c r="C35" s="153" t="s">
        <v>440</v>
      </c>
      <c r="D35" s="153">
        <v>585</v>
      </c>
    </row>
    <row r="36" spans="1:4" x14ac:dyDescent="0.25">
      <c r="A36" s="153">
        <v>1787</v>
      </c>
      <c r="B36" s="153" t="s">
        <v>472</v>
      </c>
      <c r="C36" s="153" t="s">
        <v>440</v>
      </c>
      <c r="D36" s="153">
        <v>1</v>
      </c>
    </row>
    <row r="37" spans="1:4" x14ac:dyDescent="0.25">
      <c r="A37" s="153">
        <v>2062</v>
      </c>
      <c r="B37" s="153" t="s">
        <v>448</v>
      </c>
      <c r="C37" s="153" t="s">
        <v>440</v>
      </c>
      <c r="D37" s="153">
        <v>22289</v>
      </c>
    </row>
    <row r="38" spans="1:4" x14ac:dyDescent="0.25">
      <c r="A38" s="153">
        <v>2707</v>
      </c>
      <c r="B38" s="153" t="s">
        <v>452</v>
      </c>
      <c r="C38" s="153" t="s">
        <v>440</v>
      </c>
      <c r="D38" s="153">
        <v>34</v>
      </c>
    </row>
    <row r="39" spans="1:4" x14ac:dyDescent="0.25">
      <c r="A39" s="153">
        <v>20141</v>
      </c>
      <c r="B39" s="153" t="s">
        <v>472</v>
      </c>
      <c r="C39" s="153" t="s">
        <v>440</v>
      </c>
      <c r="D39" s="153">
        <v>2733</v>
      </c>
    </row>
    <row r="40" spans="1:4" x14ac:dyDescent="0.25">
      <c r="A40" s="153">
        <v>5640</v>
      </c>
      <c r="B40" s="153" t="s">
        <v>475</v>
      </c>
      <c r="C40" s="153" t="s">
        <v>473</v>
      </c>
      <c r="D40" s="153">
        <v>2</v>
      </c>
    </row>
    <row r="41" spans="1:4" x14ac:dyDescent="0.25">
      <c r="A41" s="153">
        <v>7755</v>
      </c>
      <c r="B41" s="153" t="s">
        <v>477</v>
      </c>
      <c r="C41" s="153" t="s">
        <v>473</v>
      </c>
      <c r="D41" s="153">
        <v>6</v>
      </c>
    </row>
    <row r="42" spans="1:4" x14ac:dyDescent="0.25">
      <c r="A42" s="153">
        <v>8953</v>
      </c>
      <c r="B42" s="153" t="s">
        <v>481</v>
      </c>
      <c r="C42" s="153" t="s">
        <v>473</v>
      </c>
      <c r="D42" s="153">
        <v>51</v>
      </c>
    </row>
    <row r="43" spans="1:4" x14ac:dyDescent="0.25">
      <c r="A43" s="153">
        <v>6392</v>
      </c>
      <c r="B43" s="153" t="s">
        <v>484</v>
      </c>
      <c r="C43" s="153" t="s">
        <v>482</v>
      </c>
      <c r="D43" s="153">
        <v>1146</v>
      </c>
    </row>
    <row r="44" spans="1:4" x14ac:dyDescent="0.25">
      <c r="A44" s="153">
        <v>10963</v>
      </c>
      <c r="B44" s="153" t="s">
        <v>486</v>
      </c>
      <c r="C44" s="153" t="s">
        <v>482</v>
      </c>
      <c r="D44" s="153">
        <v>858</v>
      </c>
    </row>
    <row r="45" spans="1:4" x14ac:dyDescent="0.25">
      <c r="A45" s="153">
        <v>11424</v>
      </c>
      <c r="B45" s="153" t="s">
        <v>812</v>
      </c>
      <c r="C45" s="153" t="s">
        <v>482</v>
      </c>
      <c r="D45" s="153">
        <v>1</v>
      </c>
    </row>
    <row r="46" spans="1:4" x14ac:dyDescent="0.25">
      <c r="A46" s="153">
        <v>12443</v>
      </c>
      <c r="B46" s="153" t="s">
        <v>488</v>
      </c>
      <c r="C46" s="153" t="s">
        <v>482</v>
      </c>
      <c r="D46" s="153">
        <v>22</v>
      </c>
    </row>
    <row r="47" spans="1:4" x14ac:dyDescent="0.25">
      <c r="A47" s="153">
        <v>13343</v>
      </c>
      <c r="B47" s="153" t="s">
        <v>811</v>
      </c>
      <c r="C47" s="153" t="s">
        <v>482</v>
      </c>
      <c r="D47" s="153">
        <v>4757</v>
      </c>
    </row>
    <row r="48" spans="1:4" x14ac:dyDescent="0.25">
      <c r="A48" s="153">
        <v>1156</v>
      </c>
      <c r="B48" s="153" t="s">
        <v>493</v>
      </c>
      <c r="C48" s="153" t="s">
        <v>491</v>
      </c>
      <c r="D48" s="153">
        <v>127</v>
      </c>
    </row>
    <row r="49" spans="1:4" x14ac:dyDescent="0.25">
      <c r="A49" s="153">
        <v>2999</v>
      </c>
      <c r="B49" s="153" t="s">
        <v>495</v>
      </c>
      <c r="C49" s="153" t="s">
        <v>491</v>
      </c>
      <c r="D49" s="153">
        <v>1</v>
      </c>
    </row>
    <row r="50" spans="1:4" x14ac:dyDescent="0.25">
      <c r="A50" s="153">
        <v>5643</v>
      </c>
      <c r="B50" s="153" t="s">
        <v>452</v>
      </c>
      <c r="C50" s="153" t="s">
        <v>491</v>
      </c>
      <c r="D50" s="153">
        <v>2</v>
      </c>
    </row>
    <row r="51" spans="1:4" x14ac:dyDescent="0.25">
      <c r="A51" s="153">
        <v>6151</v>
      </c>
      <c r="B51" s="153" t="s">
        <v>502</v>
      </c>
      <c r="C51" s="153" t="s">
        <v>491</v>
      </c>
      <c r="D51" s="153">
        <v>259</v>
      </c>
    </row>
    <row r="52" spans="1:4" x14ac:dyDescent="0.25">
      <c r="A52" s="153">
        <v>6384</v>
      </c>
      <c r="B52" s="153" t="s">
        <v>959</v>
      </c>
      <c r="C52" s="153" t="s">
        <v>491</v>
      </c>
      <c r="D52" s="153">
        <v>0</v>
      </c>
    </row>
    <row r="53" spans="1:4" x14ac:dyDescent="0.25">
      <c r="A53" s="153">
        <v>8339</v>
      </c>
      <c r="B53" s="153" t="s">
        <v>512</v>
      </c>
      <c r="C53" s="153" t="s">
        <v>491</v>
      </c>
      <c r="D53" s="153">
        <v>155</v>
      </c>
    </row>
    <row r="54" spans="1:4" x14ac:dyDescent="0.25">
      <c r="A54" s="153">
        <v>8481</v>
      </c>
      <c r="B54" s="153" t="s">
        <v>495</v>
      </c>
      <c r="C54" s="153" t="s">
        <v>491</v>
      </c>
      <c r="D54" s="153">
        <v>3</v>
      </c>
    </row>
    <row r="55" spans="1:4" x14ac:dyDescent="0.25">
      <c r="A55" s="153">
        <v>10966</v>
      </c>
      <c r="B55" s="153" t="s">
        <v>517</v>
      </c>
      <c r="C55" s="153" t="s">
        <v>491</v>
      </c>
      <c r="D55" s="153">
        <v>1</v>
      </c>
    </row>
    <row r="56" spans="1:4" x14ac:dyDescent="0.25">
      <c r="A56" s="153">
        <v>20213</v>
      </c>
      <c r="B56" s="153" t="s">
        <v>523</v>
      </c>
      <c r="C56" s="153" t="s">
        <v>491</v>
      </c>
      <c r="D56" s="153">
        <v>2</v>
      </c>
    </row>
    <row r="57" spans="1:4" x14ac:dyDescent="0.25">
      <c r="A57" s="153">
        <v>279</v>
      </c>
      <c r="B57" s="153" t="s">
        <v>523</v>
      </c>
      <c r="C57" s="153" t="s">
        <v>521</v>
      </c>
      <c r="D57" s="153">
        <v>1</v>
      </c>
    </row>
    <row r="58" spans="1:4" x14ac:dyDescent="0.25">
      <c r="A58" s="153">
        <v>590</v>
      </c>
      <c r="B58" s="153" t="s">
        <v>523</v>
      </c>
      <c r="C58" s="153" t="s">
        <v>521</v>
      </c>
      <c r="D58" s="153">
        <v>2</v>
      </c>
    </row>
    <row r="59" spans="1:4" x14ac:dyDescent="0.25">
      <c r="A59" s="153">
        <v>1631</v>
      </c>
      <c r="B59" s="153" t="s">
        <v>534</v>
      </c>
      <c r="C59" s="153" t="s">
        <v>521</v>
      </c>
      <c r="D59" s="153">
        <v>126</v>
      </c>
    </row>
    <row r="60" spans="1:4" x14ac:dyDescent="0.25">
      <c r="A60" s="153">
        <v>2978</v>
      </c>
      <c r="B60" s="153" t="s">
        <v>523</v>
      </c>
      <c r="C60" s="153" t="s">
        <v>521</v>
      </c>
      <c r="D60" s="153">
        <v>14</v>
      </c>
    </row>
    <row r="61" spans="1:4" x14ac:dyDescent="0.25">
      <c r="A61" s="153">
        <v>3182</v>
      </c>
      <c r="B61" s="153" t="s">
        <v>523</v>
      </c>
      <c r="C61" s="153" t="s">
        <v>521</v>
      </c>
      <c r="D61" s="153">
        <v>4</v>
      </c>
    </row>
    <row r="62" spans="1:4" x14ac:dyDescent="0.25">
      <c r="A62" s="153">
        <v>3692</v>
      </c>
      <c r="B62" s="153" t="s">
        <v>545</v>
      </c>
      <c r="C62" s="153" t="s">
        <v>521</v>
      </c>
      <c r="D62" s="153">
        <v>425</v>
      </c>
    </row>
    <row r="63" spans="1:4" x14ac:dyDescent="0.25">
      <c r="A63" s="153">
        <v>4669</v>
      </c>
      <c r="B63" s="153" t="s">
        <v>552</v>
      </c>
      <c r="C63" s="153" t="s">
        <v>521</v>
      </c>
      <c r="D63" s="153">
        <v>95</v>
      </c>
    </row>
    <row r="64" spans="1:4" x14ac:dyDescent="0.25">
      <c r="A64" s="153">
        <v>4734</v>
      </c>
      <c r="B64" s="153" t="s">
        <v>554</v>
      </c>
      <c r="C64" s="153" t="s">
        <v>521</v>
      </c>
      <c r="D64" s="153">
        <v>602</v>
      </c>
    </row>
    <row r="65" spans="1:5" x14ac:dyDescent="0.25">
      <c r="A65" s="153">
        <v>6040</v>
      </c>
      <c r="B65" s="153" t="s">
        <v>558</v>
      </c>
      <c r="C65" s="153" t="s">
        <v>521</v>
      </c>
      <c r="D65" s="153">
        <v>268</v>
      </c>
    </row>
    <row r="66" spans="1:5" x14ac:dyDescent="0.25">
      <c r="A66" s="153">
        <v>6223</v>
      </c>
      <c r="B66" s="153" t="s">
        <v>523</v>
      </c>
      <c r="C66" s="153" t="s">
        <v>521</v>
      </c>
      <c r="D66" s="153">
        <v>107</v>
      </c>
    </row>
    <row r="67" spans="1:5" x14ac:dyDescent="0.25">
      <c r="A67" s="153">
        <v>8417</v>
      </c>
      <c r="B67" s="153" t="s">
        <v>523</v>
      </c>
      <c r="C67" s="153" t="s">
        <v>521</v>
      </c>
      <c r="D67" s="153">
        <v>5</v>
      </c>
    </row>
    <row r="68" spans="1:5" x14ac:dyDescent="0.25">
      <c r="A68" s="153">
        <v>11863</v>
      </c>
      <c r="B68" s="153" t="s">
        <v>577</v>
      </c>
      <c r="C68" s="153" t="s">
        <v>521</v>
      </c>
      <c r="D68" s="153">
        <v>2676</v>
      </c>
    </row>
    <row r="69" spans="1:5" x14ac:dyDescent="0.25">
      <c r="A69" s="153">
        <v>742</v>
      </c>
      <c r="B69" s="153" t="s">
        <v>584</v>
      </c>
      <c r="C69" s="153" t="s">
        <v>582</v>
      </c>
      <c r="D69" s="153">
        <v>340</v>
      </c>
    </row>
    <row r="70" spans="1:5" x14ac:dyDescent="0.25">
      <c r="A70" s="153">
        <v>2980</v>
      </c>
      <c r="B70" s="153" t="s">
        <v>586</v>
      </c>
      <c r="C70" s="153" t="s">
        <v>582</v>
      </c>
      <c r="D70" s="153">
        <v>463</v>
      </c>
    </row>
    <row r="71" spans="1:5" x14ac:dyDescent="0.25">
      <c r="A71" s="153">
        <v>2981</v>
      </c>
      <c r="B71" s="153" t="s">
        <v>588</v>
      </c>
      <c r="C71" s="153" t="s">
        <v>582</v>
      </c>
      <c r="D71" s="153">
        <v>6716</v>
      </c>
    </row>
    <row r="72" spans="1:5" x14ac:dyDescent="0.25">
      <c r="A72" s="153">
        <v>7692</v>
      </c>
      <c r="B72" s="153" t="s">
        <v>590</v>
      </c>
      <c r="C72" s="153" t="s">
        <v>582</v>
      </c>
      <c r="D72" s="153">
        <v>35</v>
      </c>
    </row>
    <row r="73" spans="1:5" x14ac:dyDescent="0.25">
      <c r="A73" s="153">
        <v>10795</v>
      </c>
      <c r="B73" s="153" t="s">
        <v>593</v>
      </c>
      <c r="C73" s="153" t="s">
        <v>582</v>
      </c>
      <c r="D73" s="153">
        <v>41</v>
      </c>
    </row>
    <row r="74" spans="1:5" x14ac:dyDescent="0.25">
      <c r="A74" s="153">
        <v>11218</v>
      </c>
      <c r="B74" s="153" t="s">
        <v>595</v>
      </c>
      <c r="C74" s="153" t="s">
        <v>582</v>
      </c>
      <c r="D74" s="153">
        <v>482</v>
      </c>
      <c r="E74" s="137" t="s">
        <v>960</v>
      </c>
    </row>
    <row r="75" spans="1:5" x14ac:dyDescent="0.25">
      <c r="A75" s="153">
        <v>11245</v>
      </c>
      <c r="B75" s="153" t="s">
        <v>597</v>
      </c>
      <c r="C75" s="153" t="s">
        <v>582</v>
      </c>
      <c r="D75" s="153">
        <v>230</v>
      </c>
    </row>
    <row r="76" spans="1:5" x14ac:dyDescent="0.25">
      <c r="A76" s="153">
        <v>12351</v>
      </c>
      <c r="B76" s="153" t="s">
        <v>599</v>
      </c>
      <c r="C76" s="153" t="s">
        <v>582</v>
      </c>
      <c r="D76" s="153">
        <v>562</v>
      </c>
    </row>
    <row r="77" spans="1:5" x14ac:dyDescent="0.25">
      <c r="A77" s="153">
        <v>20142</v>
      </c>
      <c r="B77" s="153" t="s">
        <v>601</v>
      </c>
      <c r="C77" s="153" t="s">
        <v>582</v>
      </c>
      <c r="D77" s="153">
        <v>12177</v>
      </c>
    </row>
    <row r="78" spans="1:5" x14ac:dyDescent="0.25">
      <c r="A78" s="153">
        <v>20143</v>
      </c>
      <c r="B78" s="153" t="s">
        <v>603</v>
      </c>
      <c r="C78" s="153" t="s">
        <v>582</v>
      </c>
      <c r="D78" s="153">
        <v>4965</v>
      </c>
    </row>
    <row r="79" spans="1:5" x14ac:dyDescent="0.25">
      <c r="A79" s="153">
        <v>341</v>
      </c>
      <c r="B79" s="153" t="s">
        <v>608</v>
      </c>
      <c r="C79" s="153" t="s">
        <v>604</v>
      </c>
      <c r="D79" s="153">
        <v>325</v>
      </c>
    </row>
    <row r="80" spans="1:5" x14ac:dyDescent="0.25">
      <c r="A80" s="153">
        <v>645</v>
      </c>
      <c r="B80" s="153" t="s">
        <v>612</v>
      </c>
      <c r="C80" s="153" t="s">
        <v>604</v>
      </c>
      <c r="D80" s="153">
        <v>1</v>
      </c>
    </row>
    <row r="81" spans="1:4" x14ac:dyDescent="0.25">
      <c r="A81" s="153">
        <v>2332</v>
      </c>
      <c r="B81" s="153" t="s">
        <v>620</v>
      </c>
      <c r="C81" s="153" t="s">
        <v>604</v>
      </c>
      <c r="D81" s="153">
        <v>120</v>
      </c>
    </row>
    <row r="82" spans="1:4" x14ac:dyDescent="0.25">
      <c r="A82" s="153">
        <v>4005</v>
      </c>
      <c r="B82" s="153" t="s">
        <v>629</v>
      </c>
      <c r="C82" s="153" t="s">
        <v>604</v>
      </c>
      <c r="D82" s="153">
        <v>23</v>
      </c>
    </row>
    <row r="83" spans="1:4" x14ac:dyDescent="0.25">
      <c r="A83" s="153">
        <v>4607</v>
      </c>
      <c r="B83" s="153" t="s">
        <v>633</v>
      </c>
      <c r="C83" s="153" t="s">
        <v>604</v>
      </c>
      <c r="D83" s="153">
        <v>1623</v>
      </c>
    </row>
    <row r="84" spans="1:4" x14ac:dyDescent="0.25">
      <c r="A84" s="153">
        <v>4658</v>
      </c>
      <c r="B84" s="153" t="s">
        <v>635</v>
      </c>
      <c r="C84" s="153" t="s">
        <v>604</v>
      </c>
      <c r="D84" s="153">
        <v>448</v>
      </c>
    </row>
    <row r="85" spans="1:4" x14ac:dyDescent="0.25">
      <c r="A85" s="153">
        <v>4912</v>
      </c>
      <c r="B85" s="153" t="s">
        <v>637</v>
      </c>
      <c r="C85" s="153" t="s">
        <v>604</v>
      </c>
      <c r="D85" s="153">
        <v>3528</v>
      </c>
    </row>
    <row r="86" spans="1:4" x14ac:dyDescent="0.25">
      <c r="A86" s="153">
        <v>5750</v>
      </c>
      <c r="B86" s="153" t="s">
        <v>641</v>
      </c>
      <c r="C86" s="153" t="s">
        <v>604</v>
      </c>
      <c r="D86" s="153">
        <v>42</v>
      </c>
    </row>
    <row r="87" spans="1:4" x14ac:dyDescent="0.25">
      <c r="A87" s="153">
        <v>5870</v>
      </c>
      <c r="B87" s="153" t="s">
        <v>644</v>
      </c>
      <c r="C87" s="153" t="s">
        <v>604</v>
      </c>
      <c r="D87" s="153">
        <v>3</v>
      </c>
    </row>
    <row r="88" spans="1:4" x14ac:dyDescent="0.25">
      <c r="A88" s="153">
        <v>5893</v>
      </c>
      <c r="B88" s="153" t="s">
        <v>646</v>
      </c>
      <c r="C88" s="153" t="s">
        <v>604</v>
      </c>
      <c r="D88" s="153">
        <v>174</v>
      </c>
    </row>
    <row r="89" spans="1:4" x14ac:dyDescent="0.25">
      <c r="A89" s="153">
        <v>6124</v>
      </c>
      <c r="B89" s="153" t="s">
        <v>648</v>
      </c>
      <c r="C89" s="153" t="s">
        <v>604</v>
      </c>
      <c r="D89" s="153">
        <v>63</v>
      </c>
    </row>
    <row r="90" spans="1:4" x14ac:dyDescent="0.25">
      <c r="A90" s="153">
        <v>6505</v>
      </c>
      <c r="B90" s="153" t="s">
        <v>654</v>
      </c>
      <c r="C90" s="153" t="s">
        <v>604</v>
      </c>
      <c r="D90" s="153">
        <v>237</v>
      </c>
    </row>
    <row r="91" spans="1:4" x14ac:dyDescent="0.25">
      <c r="A91" s="153">
        <v>6506</v>
      </c>
      <c r="B91" s="153" t="s">
        <v>654</v>
      </c>
      <c r="C91" s="153" t="s">
        <v>604</v>
      </c>
      <c r="D91" s="153">
        <v>32</v>
      </c>
    </row>
    <row r="92" spans="1:4" x14ac:dyDescent="0.25">
      <c r="A92" s="153">
        <v>6507</v>
      </c>
      <c r="B92" s="153" t="s">
        <v>654</v>
      </c>
      <c r="C92" s="153" t="s">
        <v>604</v>
      </c>
      <c r="D92" s="153">
        <v>3</v>
      </c>
    </row>
    <row r="93" spans="1:4" x14ac:dyDescent="0.25">
      <c r="A93" s="153">
        <v>6508</v>
      </c>
      <c r="B93" s="153" t="s">
        <v>654</v>
      </c>
      <c r="C93" s="153" t="s">
        <v>604</v>
      </c>
      <c r="D93" s="153">
        <v>63</v>
      </c>
    </row>
    <row r="94" spans="1:4" x14ac:dyDescent="0.25">
      <c r="A94" s="153">
        <v>6509</v>
      </c>
      <c r="B94" s="153" t="s">
        <v>654</v>
      </c>
      <c r="C94" s="153" t="s">
        <v>604</v>
      </c>
      <c r="D94" s="153">
        <v>4301</v>
      </c>
    </row>
    <row r="95" spans="1:4" x14ac:dyDescent="0.25">
      <c r="A95" s="153">
        <v>6624</v>
      </c>
      <c r="B95" s="153" t="s">
        <v>660</v>
      </c>
      <c r="C95" s="153" t="s">
        <v>604</v>
      </c>
      <c r="D95" s="153">
        <v>18</v>
      </c>
    </row>
    <row r="96" spans="1:4" x14ac:dyDescent="0.25">
      <c r="A96" s="153">
        <v>6920</v>
      </c>
      <c r="B96" s="153" t="s">
        <v>663</v>
      </c>
      <c r="C96" s="153" t="s">
        <v>604</v>
      </c>
      <c r="D96" s="153">
        <v>4</v>
      </c>
    </row>
    <row r="97" spans="1:4" x14ac:dyDescent="0.25">
      <c r="A97" s="153">
        <v>7119</v>
      </c>
      <c r="B97" s="153" t="s">
        <v>665</v>
      </c>
      <c r="C97" s="153" t="s">
        <v>604</v>
      </c>
      <c r="D97" s="153">
        <v>101</v>
      </c>
    </row>
    <row r="98" spans="1:4" x14ac:dyDescent="0.25">
      <c r="A98" s="153">
        <v>7328</v>
      </c>
      <c r="B98" s="153" t="s">
        <v>671</v>
      </c>
      <c r="C98" s="153" t="s">
        <v>604</v>
      </c>
      <c r="D98" s="153">
        <v>1</v>
      </c>
    </row>
    <row r="99" spans="1:4" x14ac:dyDescent="0.25">
      <c r="A99" s="153">
        <v>8054</v>
      </c>
      <c r="B99" s="153" t="s">
        <v>654</v>
      </c>
      <c r="C99" s="153" t="s">
        <v>604</v>
      </c>
      <c r="D99" s="153">
        <v>56</v>
      </c>
    </row>
    <row r="100" spans="1:4" x14ac:dyDescent="0.25">
      <c r="A100" s="153">
        <v>8468</v>
      </c>
      <c r="B100" s="153" t="s">
        <v>685</v>
      </c>
      <c r="C100" s="153" t="s">
        <v>604</v>
      </c>
      <c r="D100" s="153">
        <v>1</v>
      </c>
    </row>
    <row r="101" spans="1:4" x14ac:dyDescent="0.25">
      <c r="A101" s="153">
        <v>8522</v>
      </c>
      <c r="B101" s="153" t="s">
        <v>687</v>
      </c>
      <c r="C101" s="153" t="s">
        <v>604</v>
      </c>
      <c r="D101" s="153">
        <v>204</v>
      </c>
    </row>
    <row r="102" spans="1:4" x14ac:dyDescent="0.25">
      <c r="A102" s="153">
        <v>12800</v>
      </c>
      <c r="B102" s="153" t="s">
        <v>837</v>
      </c>
      <c r="C102" s="153" t="s">
        <v>604</v>
      </c>
      <c r="D102" s="153">
        <v>8</v>
      </c>
    </row>
    <row r="103" spans="1:4" x14ac:dyDescent="0.25">
      <c r="A103" s="153">
        <v>21107</v>
      </c>
      <c r="B103" s="153" t="s">
        <v>639</v>
      </c>
      <c r="C103" s="153" t="s">
        <v>604</v>
      </c>
      <c r="D103" s="153">
        <v>3</v>
      </c>
    </row>
    <row r="104" spans="1:4" x14ac:dyDescent="0.25">
      <c r="A104" s="153">
        <v>2923</v>
      </c>
      <c r="B104" s="153" t="s">
        <v>712</v>
      </c>
      <c r="C104" s="153" t="s">
        <v>710</v>
      </c>
      <c r="D104" s="153">
        <v>246</v>
      </c>
    </row>
    <row r="105" spans="1:4" x14ac:dyDescent="0.25">
      <c r="A105" s="153">
        <v>4318</v>
      </c>
      <c r="B105" s="153" t="s">
        <v>714</v>
      </c>
      <c r="C105" s="153" t="s">
        <v>710</v>
      </c>
      <c r="D105" s="153">
        <v>3999</v>
      </c>
    </row>
    <row r="106" spans="1:4" x14ac:dyDescent="0.25">
      <c r="A106" s="153">
        <v>4866</v>
      </c>
      <c r="B106" s="153" t="s">
        <v>716</v>
      </c>
      <c r="C106" s="153" t="s">
        <v>710</v>
      </c>
      <c r="D106" s="153">
        <v>659</v>
      </c>
    </row>
    <row r="107" spans="1:4" x14ac:dyDescent="0.25">
      <c r="A107" s="153">
        <v>5393</v>
      </c>
      <c r="B107" s="153" t="s">
        <v>718</v>
      </c>
      <c r="C107" s="153" t="s">
        <v>710</v>
      </c>
      <c r="D107" s="153">
        <v>537</v>
      </c>
    </row>
    <row r="108" spans="1:4" x14ac:dyDescent="0.25">
      <c r="A108" s="153">
        <v>8836</v>
      </c>
      <c r="B108" s="153" t="s">
        <v>726</v>
      </c>
      <c r="C108" s="153" t="s">
        <v>710</v>
      </c>
      <c r="D108" s="153">
        <v>2921</v>
      </c>
    </row>
    <row r="109" spans="1:4" x14ac:dyDescent="0.25">
      <c r="A109" s="153">
        <v>99914</v>
      </c>
      <c r="B109" s="153" t="s">
        <v>728</v>
      </c>
      <c r="C109" s="153" t="s">
        <v>710</v>
      </c>
      <c r="D109" s="153">
        <v>18</v>
      </c>
    </row>
    <row r="110" spans="1:4" x14ac:dyDescent="0.25">
      <c r="A110" s="153">
        <v>1368</v>
      </c>
      <c r="B110" s="153" t="s">
        <v>731</v>
      </c>
      <c r="C110" s="153" t="s">
        <v>729</v>
      </c>
      <c r="D110" s="153">
        <v>24</v>
      </c>
    </row>
    <row r="111" spans="1:4" x14ac:dyDescent="0.25">
      <c r="A111" s="153">
        <v>6519</v>
      </c>
      <c r="B111" s="153" t="s">
        <v>733</v>
      </c>
      <c r="C111" s="153" t="s">
        <v>729</v>
      </c>
      <c r="D111" s="153">
        <v>117</v>
      </c>
    </row>
    <row r="112" spans="1:4" x14ac:dyDescent="0.25">
      <c r="A112" s="153">
        <v>8135</v>
      </c>
      <c r="B112" s="153" t="s">
        <v>739</v>
      </c>
      <c r="C112" s="153" t="s">
        <v>729</v>
      </c>
      <c r="D112" s="153">
        <v>613</v>
      </c>
    </row>
    <row r="113" spans="1:4" x14ac:dyDescent="0.25">
      <c r="A113" s="153">
        <v>12584</v>
      </c>
      <c r="B113" s="153" t="s">
        <v>744</v>
      </c>
      <c r="C113" s="153" t="s">
        <v>729</v>
      </c>
      <c r="D113" s="153">
        <v>82</v>
      </c>
    </row>
    <row r="114" spans="1:4" x14ac:dyDescent="0.25">
      <c r="A114" s="153">
        <v>13005</v>
      </c>
      <c r="B114" s="153" t="s">
        <v>746</v>
      </c>
      <c r="C114" s="153" t="s">
        <v>729</v>
      </c>
      <c r="D114" s="153">
        <v>408</v>
      </c>
    </row>
    <row r="115" spans="1:4" x14ac:dyDescent="0.25">
      <c r="A115" s="153">
        <v>20721</v>
      </c>
      <c r="B115" s="153" t="s">
        <v>750</v>
      </c>
      <c r="C115" s="153" t="s">
        <v>729</v>
      </c>
      <c r="D115" s="153">
        <v>69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8"/>
  <sheetViews>
    <sheetView workbookViewId="0"/>
  </sheetViews>
  <sheetFormatPr defaultColWidth="9" defaultRowHeight="12.75" x14ac:dyDescent="0.2"/>
  <cols>
    <col min="1" max="1" width="5.5" style="36" customWidth="1"/>
    <col min="2" max="2" width="9" style="36"/>
    <col min="3" max="3" width="7.625" style="36" customWidth="1"/>
    <col min="4" max="4" width="6" style="36" customWidth="1"/>
    <col min="5" max="5" width="8.875" style="36" bestFit="1" customWidth="1"/>
    <col min="6" max="6" width="8.875" style="36" customWidth="1"/>
    <col min="7" max="7" width="2.375" style="36" customWidth="1"/>
    <col min="8" max="8" width="5.5" style="36" customWidth="1"/>
    <col min="9" max="9" width="9" style="36"/>
    <col min="10" max="10" width="6.625" style="36" customWidth="1"/>
    <col min="11" max="11" width="6" style="36" customWidth="1"/>
    <col min="12" max="13" width="8.875" style="36" bestFit="1" customWidth="1"/>
    <col min="14" max="16384" width="9" style="36"/>
  </cols>
  <sheetData>
    <row r="1" spans="1:13" ht="18" x14ac:dyDescent="0.25">
      <c r="A1" s="35" t="s">
        <v>18</v>
      </c>
    </row>
    <row r="2" spans="1:13" ht="16.5" customHeight="1" x14ac:dyDescent="0.2">
      <c r="A2" s="36" t="s">
        <v>19</v>
      </c>
      <c r="E2" s="36" t="str">
        <f>INDEX(Utility_Name,index)</f>
        <v>GASPARILLA ISLAND WATER ASSOC.</v>
      </c>
      <c r="I2" s="37"/>
      <c r="L2" s="36" t="s">
        <v>20</v>
      </c>
      <c r="M2" s="36">
        <v>1</v>
      </c>
    </row>
    <row r="3" spans="1:13" x14ac:dyDescent="0.2">
      <c r="A3" s="36" t="s">
        <v>21</v>
      </c>
      <c r="D3" s="38"/>
      <c r="E3" s="36">
        <f>INDEX(WUP,index)</f>
        <v>718</v>
      </c>
    </row>
    <row r="4" spans="1:13" x14ac:dyDescent="0.2">
      <c r="A4" s="36" t="s">
        <v>22</v>
      </c>
      <c r="D4" s="36">
        <v>2024</v>
      </c>
    </row>
    <row r="5" spans="1:13" ht="15.75" x14ac:dyDescent="0.25">
      <c r="A5" s="39" t="s">
        <v>23</v>
      </c>
    </row>
    <row r="6" spans="1:13" x14ac:dyDescent="0.2">
      <c r="A6" s="37" t="s">
        <v>24</v>
      </c>
    </row>
    <row r="7" spans="1:13" ht="13.5" thickBot="1" x14ac:dyDescent="0.25">
      <c r="A7" s="37"/>
    </row>
    <row r="8" spans="1:13" ht="14.25" thickTop="1" thickBot="1" x14ac:dyDescent="0.25">
      <c r="A8" s="40" t="s">
        <v>25</v>
      </c>
      <c r="B8" s="41"/>
      <c r="C8" s="41"/>
      <c r="D8" s="41"/>
      <c r="E8" s="42"/>
    </row>
    <row r="9" spans="1:13" ht="14.25" thickTop="1" thickBot="1" x14ac:dyDescent="0.25">
      <c r="A9" s="44" t="s">
        <v>26</v>
      </c>
      <c r="B9" s="45"/>
      <c r="C9" s="45"/>
      <c r="D9" s="45"/>
      <c r="E9" s="46"/>
    </row>
    <row r="10" spans="1:13" ht="13.5" thickBot="1" x14ac:dyDescent="0.25">
      <c r="A10" s="37"/>
    </row>
    <row r="11" spans="1:13" ht="17.25" thickTop="1" thickBot="1" x14ac:dyDescent="0.3">
      <c r="A11" s="39" t="s">
        <v>27</v>
      </c>
      <c r="H11" s="47" t="s">
        <v>28</v>
      </c>
      <c r="I11" s="48"/>
    </row>
    <row r="12" spans="1:13" ht="16.5" thickTop="1" x14ac:dyDescent="0.25">
      <c r="A12" s="39"/>
    </row>
    <row r="13" spans="1:13" ht="15.75" x14ac:dyDescent="0.25">
      <c r="A13" s="37"/>
      <c r="C13" s="39" t="s">
        <v>29</v>
      </c>
    </row>
    <row r="15" spans="1:13" x14ac:dyDescent="0.2">
      <c r="A15" s="37" t="s">
        <v>30</v>
      </c>
      <c r="H15" s="37" t="s">
        <v>31</v>
      </c>
    </row>
    <row r="16" spans="1:13" x14ac:dyDescent="0.2">
      <c r="A16" s="49"/>
      <c r="B16" s="49"/>
      <c r="C16" s="49" t="s">
        <v>32</v>
      </c>
      <c r="D16" s="49"/>
      <c r="E16" s="49" t="s">
        <v>33</v>
      </c>
      <c r="F16" s="50" t="s">
        <v>34</v>
      </c>
      <c r="J16" s="36" t="s">
        <v>32</v>
      </c>
      <c r="L16" s="36" t="s">
        <v>33</v>
      </c>
      <c r="M16" s="50" t="s">
        <v>34</v>
      </c>
    </row>
    <row r="17" spans="1:13" x14ac:dyDescent="0.2">
      <c r="A17" s="49"/>
      <c r="B17" s="49" t="s">
        <v>35</v>
      </c>
      <c r="C17" s="49" t="s">
        <v>36</v>
      </c>
      <c r="D17" s="49" t="s">
        <v>37</v>
      </c>
      <c r="E17" s="49" t="s">
        <v>38</v>
      </c>
      <c r="F17" s="50" t="s">
        <v>39</v>
      </c>
      <c r="I17" s="36" t="s">
        <v>35</v>
      </c>
      <c r="J17" s="36" t="s">
        <v>40</v>
      </c>
      <c r="K17" s="36" t="s">
        <v>37</v>
      </c>
      <c r="L17" s="36" t="s">
        <v>38</v>
      </c>
      <c r="M17" s="50" t="s">
        <v>39</v>
      </c>
    </row>
    <row r="18" spans="1:13" x14ac:dyDescent="0.2">
      <c r="A18" s="49"/>
      <c r="B18" s="49" t="s">
        <v>41</v>
      </c>
      <c r="C18" s="49" t="s">
        <v>42</v>
      </c>
      <c r="D18" s="49" t="s">
        <v>43</v>
      </c>
      <c r="E18" s="49" t="s">
        <v>44</v>
      </c>
      <c r="F18" s="49" t="s">
        <v>38</v>
      </c>
      <c r="I18" s="36" t="s">
        <v>41</v>
      </c>
      <c r="J18" s="36" t="s">
        <v>42</v>
      </c>
      <c r="K18" s="36" t="s">
        <v>43</v>
      </c>
      <c r="L18" s="36" t="s">
        <v>44</v>
      </c>
      <c r="M18" s="49" t="s">
        <v>38</v>
      </c>
    </row>
    <row r="19" spans="1:13" x14ac:dyDescent="0.2">
      <c r="A19" s="49" t="s">
        <v>45</v>
      </c>
      <c r="B19" s="49" t="s">
        <v>33</v>
      </c>
      <c r="C19" s="49" t="s">
        <v>46</v>
      </c>
      <c r="D19" s="49" t="s">
        <v>47</v>
      </c>
      <c r="E19" s="49" t="s">
        <v>48</v>
      </c>
      <c r="F19" s="49" t="s">
        <v>44</v>
      </c>
      <c r="H19" s="36" t="s">
        <v>45</v>
      </c>
      <c r="I19" s="36" t="s">
        <v>33</v>
      </c>
      <c r="J19" s="36" t="s">
        <v>46</v>
      </c>
      <c r="K19" s="36" t="s">
        <v>47</v>
      </c>
      <c r="L19" s="36" t="s">
        <v>48</v>
      </c>
      <c r="M19" s="49" t="s">
        <v>44</v>
      </c>
    </row>
    <row r="20" spans="1:13" x14ac:dyDescent="0.2">
      <c r="A20" s="49" t="s">
        <v>49</v>
      </c>
      <c r="B20" s="49" t="s">
        <v>50</v>
      </c>
      <c r="C20" s="49" t="s">
        <v>51</v>
      </c>
      <c r="D20" s="49" t="s">
        <v>52</v>
      </c>
      <c r="E20" s="49" t="s">
        <v>50</v>
      </c>
      <c r="F20" s="49" t="s">
        <v>53</v>
      </c>
      <c r="H20" s="36" t="s">
        <v>49</v>
      </c>
      <c r="I20" s="36" t="s">
        <v>50</v>
      </c>
      <c r="J20" s="36" t="s">
        <v>51</v>
      </c>
      <c r="K20" s="36" t="s">
        <v>52</v>
      </c>
      <c r="L20" s="36" t="s">
        <v>50</v>
      </c>
      <c r="M20" s="49" t="s">
        <v>53</v>
      </c>
    </row>
    <row r="21" spans="1:13" x14ac:dyDescent="0.2">
      <c r="A21" s="49"/>
      <c r="B21" s="50" t="s">
        <v>54</v>
      </c>
      <c r="C21" s="50" t="s">
        <v>55</v>
      </c>
      <c r="D21" s="50" t="s">
        <v>56</v>
      </c>
      <c r="E21" s="50" t="s">
        <v>57</v>
      </c>
      <c r="F21" s="50" t="s">
        <v>50</v>
      </c>
      <c r="I21" s="50" t="s">
        <v>54</v>
      </c>
      <c r="J21" s="50" t="s">
        <v>55</v>
      </c>
      <c r="K21" s="50" t="s">
        <v>56</v>
      </c>
      <c r="L21" s="50" t="s">
        <v>57</v>
      </c>
      <c r="M21" s="50" t="s">
        <v>50</v>
      </c>
    </row>
    <row r="22" spans="1:13" ht="13.5" thickBot="1" x14ac:dyDescent="0.25">
      <c r="B22" s="50"/>
      <c r="C22" s="50"/>
      <c r="D22" s="50"/>
      <c r="E22" s="50"/>
      <c r="F22" s="50"/>
      <c r="L22" s="51" t="s">
        <v>58</v>
      </c>
      <c r="M22" s="51" t="s">
        <v>59</v>
      </c>
    </row>
    <row r="23" spans="1:13" ht="14.25" thickTop="1" thickBot="1" x14ac:dyDescent="0.25">
      <c r="E23" s="51" t="s">
        <v>58</v>
      </c>
      <c r="F23" s="51" t="s">
        <v>59</v>
      </c>
      <c r="H23" s="49" t="s">
        <v>60</v>
      </c>
      <c r="I23" s="49">
        <v>1.5</v>
      </c>
      <c r="J23" s="43"/>
      <c r="K23" s="49">
        <v>0.7</v>
      </c>
      <c r="L23" s="52">
        <f t="shared" ref="L23:L32" si="0">(I23*J23)/K23</f>
        <v>0</v>
      </c>
      <c r="M23" s="43"/>
    </row>
    <row r="24" spans="1:13" ht="14.25" thickTop="1" thickBot="1" x14ac:dyDescent="0.25">
      <c r="A24" s="49" t="s">
        <v>61</v>
      </c>
      <c r="B24" s="49">
        <v>2.5</v>
      </c>
      <c r="C24" s="43"/>
      <c r="D24" s="49">
        <v>1</v>
      </c>
      <c r="E24" s="52">
        <f>(B24*C24)/D24</f>
        <v>0</v>
      </c>
      <c r="F24" s="43"/>
      <c r="H24" s="49" t="s">
        <v>61</v>
      </c>
      <c r="I24" s="49">
        <v>2.5</v>
      </c>
      <c r="J24" s="43"/>
      <c r="K24" s="49">
        <v>0.7</v>
      </c>
      <c r="L24" s="52">
        <f t="shared" si="0"/>
        <v>0</v>
      </c>
      <c r="M24" s="43"/>
    </row>
    <row r="25" spans="1:13" ht="14.25" thickTop="1" thickBot="1" x14ac:dyDescent="0.25">
      <c r="A25" s="49" t="s">
        <v>62</v>
      </c>
      <c r="B25" s="49">
        <v>5</v>
      </c>
      <c r="C25" s="43"/>
      <c r="D25" s="49">
        <v>1</v>
      </c>
      <c r="E25" s="52">
        <f t="shared" ref="E25:E32" si="1">(B25*C25)/D25</f>
        <v>0</v>
      </c>
      <c r="F25" s="43"/>
      <c r="H25" s="49" t="s">
        <v>62</v>
      </c>
      <c r="I25" s="49">
        <v>5</v>
      </c>
      <c r="J25" s="43"/>
      <c r="K25" s="49">
        <v>0.7</v>
      </c>
      <c r="L25" s="52">
        <f t="shared" si="0"/>
        <v>0</v>
      </c>
      <c r="M25" s="43"/>
    </row>
    <row r="26" spans="1:13" ht="14.25" thickTop="1" thickBot="1" x14ac:dyDescent="0.25">
      <c r="A26" s="49" t="s">
        <v>63</v>
      </c>
      <c r="B26" s="49">
        <v>8</v>
      </c>
      <c r="C26" s="43"/>
      <c r="D26" s="49">
        <v>1</v>
      </c>
      <c r="E26" s="52">
        <f t="shared" si="1"/>
        <v>0</v>
      </c>
      <c r="F26" s="43"/>
      <c r="H26" s="49" t="s">
        <v>63</v>
      </c>
      <c r="I26" s="49">
        <v>8</v>
      </c>
      <c r="J26" s="43"/>
      <c r="K26" s="49">
        <v>0.7</v>
      </c>
      <c r="L26" s="52">
        <f t="shared" si="0"/>
        <v>0</v>
      </c>
      <c r="M26" s="43"/>
    </row>
    <row r="27" spans="1:13" ht="14.25" thickTop="1" thickBot="1" x14ac:dyDescent="0.25">
      <c r="A27" s="49" t="s">
        <v>64</v>
      </c>
      <c r="B27" s="49">
        <v>17.5</v>
      </c>
      <c r="C27" s="43"/>
      <c r="D27" s="49">
        <v>1</v>
      </c>
      <c r="E27" s="52">
        <f t="shared" si="1"/>
        <v>0</v>
      </c>
      <c r="F27" s="43"/>
      <c r="H27" s="49" t="s">
        <v>64</v>
      </c>
      <c r="I27" s="49">
        <v>17.5</v>
      </c>
      <c r="J27" s="43"/>
      <c r="K27" s="49">
        <v>0.7</v>
      </c>
      <c r="L27" s="52">
        <f t="shared" si="0"/>
        <v>0</v>
      </c>
      <c r="M27" s="43"/>
    </row>
    <row r="28" spans="1:13" ht="14.25" thickTop="1" thickBot="1" x14ac:dyDescent="0.25">
      <c r="A28" s="49" t="s">
        <v>65</v>
      </c>
      <c r="B28" s="49">
        <v>30</v>
      </c>
      <c r="C28" s="43"/>
      <c r="D28" s="49">
        <v>1</v>
      </c>
      <c r="E28" s="52">
        <f t="shared" si="1"/>
        <v>0</v>
      </c>
      <c r="F28" s="43"/>
      <c r="H28" s="49" t="s">
        <v>65</v>
      </c>
      <c r="I28" s="49">
        <v>30</v>
      </c>
      <c r="J28" s="43"/>
      <c r="K28" s="49">
        <v>0.7</v>
      </c>
      <c r="L28" s="52">
        <f t="shared" si="0"/>
        <v>0</v>
      </c>
      <c r="M28" s="43"/>
    </row>
    <row r="29" spans="1:13" ht="14.25" thickTop="1" thickBot="1" x14ac:dyDescent="0.25">
      <c r="A29" s="49" t="s">
        <v>66</v>
      </c>
      <c r="B29" s="49">
        <v>62.5</v>
      </c>
      <c r="C29" s="43"/>
      <c r="D29" s="49">
        <v>1</v>
      </c>
      <c r="E29" s="52">
        <f t="shared" si="1"/>
        <v>0</v>
      </c>
      <c r="F29" s="43"/>
      <c r="H29" s="49" t="s">
        <v>66</v>
      </c>
      <c r="I29" s="49">
        <v>62.5</v>
      </c>
      <c r="J29" s="43"/>
      <c r="K29" s="49">
        <v>0.7</v>
      </c>
      <c r="L29" s="52">
        <f t="shared" si="0"/>
        <v>0</v>
      </c>
      <c r="M29" s="43"/>
    </row>
    <row r="30" spans="1:13" ht="14.25" thickTop="1" thickBot="1" x14ac:dyDescent="0.25">
      <c r="A30" s="49" t="s">
        <v>67</v>
      </c>
      <c r="B30" s="49">
        <v>90</v>
      </c>
      <c r="C30" s="43"/>
      <c r="D30" s="49">
        <v>1</v>
      </c>
      <c r="E30" s="52">
        <f t="shared" si="1"/>
        <v>0</v>
      </c>
      <c r="F30" s="43"/>
      <c r="H30" s="49" t="s">
        <v>67</v>
      </c>
      <c r="I30" s="49">
        <v>90</v>
      </c>
      <c r="J30" s="43"/>
      <c r="K30" s="49">
        <v>0.7</v>
      </c>
      <c r="L30" s="52">
        <f t="shared" si="0"/>
        <v>0</v>
      </c>
      <c r="M30" s="43"/>
    </row>
    <row r="31" spans="1:13" ht="14.25" thickTop="1" thickBot="1" x14ac:dyDescent="0.25">
      <c r="A31" s="49" t="s">
        <v>68</v>
      </c>
      <c r="B31" s="49">
        <v>145</v>
      </c>
      <c r="C31" s="43"/>
      <c r="D31" s="49">
        <v>1</v>
      </c>
      <c r="E31" s="52">
        <f t="shared" si="1"/>
        <v>0</v>
      </c>
      <c r="F31" s="43"/>
      <c r="H31" s="49" t="s">
        <v>68</v>
      </c>
      <c r="I31" s="49">
        <v>145</v>
      </c>
      <c r="J31" s="43"/>
      <c r="K31" s="49">
        <v>0.7</v>
      </c>
      <c r="L31" s="52">
        <f t="shared" si="0"/>
        <v>0</v>
      </c>
      <c r="M31" s="43"/>
    </row>
    <row r="32" spans="1:13" ht="14.25" thickTop="1" thickBot="1" x14ac:dyDescent="0.25">
      <c r="A32" s="49" t="s">
        <v>69</v>
      </c>
      <c r="B32" s="49">
        <v>215</v>
      </c>
      <c r="C32" s="43"/>
      <c r="D32" s="49">
        <v>1</v>
      </c>
      <c r="E32" s="52">
        <f t="shared" si="1"/>
        <v>0</v>
      </c>
      <c r="F32" s="43"/>
      <c r="H32" s="49" t="s">
        <v>69</v>
      </c>
      <c r="I32" s="49">
        <v>215</v>
      </c>
      <c r="J32" s="43"/>
      <c r="K32" s="49">
        <v>0.7</v>
      </c>
      <c r="L32" s="52">
        <f t="shared" si="0"/>
        <v>0</v>
      </c>
      <c r="M32" s="43"/>
    </row>
    <row r="33" spans="1:13" ht="14.25" thickTop="1" thickBot="1" x14ac:dyDescent="0.25">
      <c r="D33" s="37" t="s">
        <v>70</v>
      </c>
      <c r="E33" s="52">
        <f>SUM(E24:E32)</f>
        <v>0</v>
      </c>
      <c r="F33" s="43">
        <f>SUM(F24:F32)</f>
        <v>0</v>
      </c>
      <c r="K33" s="37" t="s">
        <v>70</v>
      </c>
      <c r="L33" s="52">
        <f>SUM(L23:L32)</f>
        <v>0</v>
      </c>
      <c r="M33" s="43">
        <f>SUM(M23:M32)</f>
        <v>0</v>
      </c>
    </row>
    <row r="34" spans="1:13" x14ac:dyDescent="0.2">
      <c r="D34" s="37"/>
      <c r="K34" s="37"/>
    </row>
    <row r="35" spans="1:13" x14ac:dyDescent="0.2">
      <c r="A35" s="37" t="s">
        <v>71</v>
      </c>
      <c r="H35" s="37" t="s">
        <v>72</v>
      </c>
    </row>
    <row r="36" spans="1:13" x14ac:dyDescent="0.2">
      <c r="A36" s="49"/>
      <c r="B36" s="49"/>
      <c r="C36" s="49" t="s">
        <v>32</v>
      </c>
      <c r="D36" s="49"/>
      <c r="E36" s="49" t="s">
        <v>33</v>
      </c>
      <c r="F36" s="50" t="s">
        <v>34</v>
      </c>
      <c r="H36" s="49"/>
      <c r="I36" s="49"/>
      <c r="J36" s="49" t="s">
        <v>32</v>
      </c>
      <c r="K36" s="49"/>
      <c r="L36" s="49" t="s">
        <v>33</v>
      </c>
      <c r="M36" s="50" t="s">
        <v>34</v>
      </c>
    </row>
    <row r="37" spans="1:13" x14ac:dyDescent="0.2">
      <c r="A37" s="49"/>
      <c r="B37" s="49" t="s">
        <v>35</v>
      </c>
      <c r="C37" s="49" t="s">
        <v>73</v>
      </c>
      <c r="D37" s="49" t="s">
        <v>37</v>
      </c>
      <c r="E37" s="49" t="s">
        <v>38</v>
      </c>
      <c r="F37" s="50" t="s">
        <v>39</v>
      </c>
      <c r="H37" s="49"/>
      <c r="I37" s="49" t="s">
        <v>35</v>
      </c>
      <c r="J37" s="49" t="s">
        <v>74</v>
      </c>
      <c r="K37" s="49" t="s">
        <v>37</v>
      </c>
      <c r="L37" s="49" t="s">
        <v>38</v>
      </c>
      <c r="M37" s="50" t="s">
        <v>39</v>
      </c>
    </row>
    <row r="38" spans="1:13" x14ac:dyDescent="0.2">
      <c r="A38" s="49"/>
      <c r="B38" s="49" t="s">
        <v>41</v>
      </c>
      <c r="C38" s="49" t="s">
        <v>75</v>
      </c>
      <c r="D38" s="49" t="s">
        <v>43</v>
      </c>
      <c r="E38" s="49" t="s">
        <v>44</v>
      </c>
      <c r="F38" s="49" t="s">
        <v>38</v>
      </c>
      <c r="H38" s="49"/>
      <c r="I38" s="49" t="s">
        <v>41</v>
      </c>
      <c r="J38" s="49" t="s">
        <v>75</v>
      </c>
      <c r="K38" s="49" t="s">
        <v>43</v>
      </c>
      <c r="L38" s="49" t="s">
        <v>44</v>
      </c>
      <c r="M38" s="49" t="s">
        <v>38</v>
      </c>
    </row>
    <row r="39" spans="1:13" x14ac:dyDescent="0.2">
      <c r="A39" s="49" t="s">
        <v>45</v>
      </c>
      <c r="B39" s="49" t="s">
        <v>33</v>
      </c>
      <c r="C39" s="49" t="s">
        <v>46</v>
      </c>
      <c r="D39" s="49" t="s">
        <v>47</v>
      </c>
      <c r="E39" s="49" t="s">
        <v>48</v>
      </c>
      <c r="F39" s="49" t="s">
        <v>44</v>
      </c>
      <c r="H39" s="49" t="s">
        <v>45</v>
      </c>
      <c r="I39" s="49" t="s">
        <v>33</v>
      </c>
      <c r="J39" s="49" t="s">
        <v>46</v>
      </c>
      <c r="K39" s="49" t="s">
        <v>47</v>
      </c>
      <c r="L39" s="49" t="s">
        <v>48</v>
      </c>
      <c r="M39" s="49" t="s">
        <v>44</v>
      </c>
    </row>
    <row r="40" spans="1:13" x14ac:dyDescent="0.2">
      <c r="A40" s="49" t="s">
        <v>49</v>
      </c>
      <c r="B40" s="49" t="s">
        <v>50</v>
      </c>
      <c r="C40" s="49" t="s">
        <v>51</v>
      </c>
      <c r="D40" s="49" t="s">
        <v>52</v>
      </c>
      <c r="E40" s="49" t="s">
        <v>50</v>
      </c>
      <c r="F40" s="49" t="s">
        <v>53</v>
      </c>
      <c r="H40" s="49" t="s">
        <v>49</v>
      </c>
      <c r="I40" s="49" t="s">
        <v>50</v>
      </c>
      <c r="J40" s="49" t="s">
        <v>51</v>
      </c>
      <c r="K40" s="49" t="s">
        <v>52</v>
      </c>
      <c r="L40" s="49" t="s">
        <v>50</v>
      </c>
      <c r="M40" s="49" t="s">
        <v>53</v>
      </c>
    </row>
    <row r="41" spans="1:13" x14ac:dyDescent="0.2">
      <c r="A41" s="49"/>
      <c r="B41" s="50" t="s">
        <v>54</v>
      </c>
      <c r="C41" s="50" t="s">
        <v>55</v>
      </c>
      <c r="D41" s="50" t="s">
        <v>56</v>
      </c>
      <c r="E41" s="50" t="s">
        <v>57</v>
      </c>
      <c r="F41" s="50" t="s">
        <v>50</v>
      </c>
      <c r="H41" s="49"/>
      <c r="I41" s="50" t="s">
        <v>54</v>
      </c>
      <c r="J41" s="50" t="s">
        <v>55</v>
      </c>
      <c r="K41" s="50" t="s">
        <v>56</v>
      </c>
      <c r="L41" s="50" t="s">
        <v>57</v>
      </c>
      <c r="M41" s="50" t="s">
        <v>50</v>
      </c>
    </row>
    <row r="42" spans="1:13" ht="13.5" thickBot="1" x14ac:dyDescent="0.25">
      <c r="E42" s="51" t="s">
        <v>58</v>
      </c>
      <c r="F42" s="51" t="s">
        <v>59</v>
      </c>
      <c r="L42" s="51" t="s">
        <v>58</v>
      </c>
      <c r="M42" s="51" t="s">
        <v>59</v>
      </c>
    </row>
    <row r="43" spans="1:13" ht="14.25" thickTop="1" thickBot="1" x14ac:dyDescent="0.25">
      <c r="A43" s="49" t="s">
        <v>60</v>
      </c>
      <c r="B43" s="49">
        <v>1.5</v>
      </c>
      <c r="C43" s="43"/>
      <c r="D43" s="49">
        <v>0.6</v>
      </c>
      <c r="E43" s="52">
        <f t="shared" ref="E43:E52" si="2">(B43*C43)/D43</f>
        <v>0</v>
      </c>
      <c r="F43" s="43"/>
      <c r="H43" s="49" t="s">
        <v>60</v>
      </c>
      <c r="I43" s="49">
        <v>1.5</v>
      </c>
      <c r="J43" s="43"/>
      <c r="K43" s="49">
        <v>0.8</v>
      </c>
      <c r="L43" s="52">
        <f t="shared" ref="L43:L52" si="3">(I43*J43)/K43</f>
        <v>0</v>
      </c>
      <c r="M43" s="43"/>
    </row>
    <row r="44" spans="1:13" ht="14.25" thickTop="1" thickBot="1" x14ac:dyDescent="0.25">
      <c r="A44" s="49" t="s">
        <v>61</v>
      </c>
      <c r="B44" s="49">
        <v>2.5</v>
      </c>
      <c r="C44" s="43"/>
      <c r="D44" s="49">
        <v>0.6</v>
      </c>
      <c r="E44" s="52">
        <f t="shared" si="2"/>
        <v>0</v>
      </c>
      <c r="F44" s="43"/>
      <c r="H44" s="49" t="s">
        <v>61</v>
      </c>
      <c r="I44" s="49">
        <v>2.5</v>
      </c>
      <c r="J44" s="43"/>
      <c r="K44" s="49">
        <v>0.8</v>
      </c>
      <c r="L44" s="52">
        <f t="shared" si="3"/>
        <v>0</v>
      </c>
      <c r="M44" s="43"/>
    </row>
    <row r="45" spans="1:13" ht="14.25" thickTop="1" thickBot="1" x14ac:dyDescent="0.25">
      <c r="A45" s="49" t="s">
        <v>62</v>
      </c>
      <c r="B45" s="49">
        <v>5</v>
      </c>
      <c r="C45" s="43"/>
      <c r="D45" s="49">
        <v>0.6</v>
      </c>
      <c r="E45" s="52">
        <f t="shared" si="2"/>
        <v>0</v>
      </c>
      <c r="F45" s="43"/>
      <c r="H45" s="49" t="s">
        <v>62</v>
      </c>
      <c r="I45" s="49">
        <v>5</v>
      </c>
      <c r="J45" s="43"/>
      <c r="K45" s="49">
        <v>0.8</v>
      </c>
      <c r="L45" s="52">
        <f t="shared" si="3"/>
        <v>0</v>
      </c>
      <c r="M45" s="43"/>
    </row>
    <row r="46" spans="1:13" ht="14.25" thickTop="1" thickBot="1" x14ac:dyDescent="0.25">
      <c r="A46" s="49" t="s">
        <v>63</v>
      </c>
      <c r="B46" s="49">
        <v>8</v>
      </c>
      <c r="C46" s="43"/>
      <c r="D46" s="49">
        <v>0.6</v>
      </c>
      <c r="E46" s="52">
        <f t="shared" si="2"/>
        <v>0</v>
      </c>
      <c r="F46" s="43"/>
      <c r="H46" s="49" t="s">
        <v>63</v>
      </c>
      <c r="I46" s="49">
        <v>8</v>
      </c>
      <c r="J46" s="43"/>
      <c r="K46" s="49">
        <v>0.8</v>
      </c>
      <c r="L46" s="52">
        <f t="shared" si="3"/>
        <v>0</v>
      </c>
      <c r="M46" s="43"/>
    </row>
    <row r="47" spans="1:13" ht="14.25" thickTop="1" thickBot="1" x14ac:dyDescent="0.25">
      <c r="A47" s="49" t="s">
        <v>64</v>
      </c>
      <c r="B47" s="49">
        <v>17.5</v>
      </c>
      <c r="C47" s="43"/>
      <c r="D47" s="49">
        <v>0.6</v>
      </c>
      <c r="E47" s="52">
        <f t="shared" si="2"/>
        <v>0</v>
      </c>
      <c r="F47" s="43"/>
      <c r="H47" s="49" t="s">
        <v>64</v>
      </c>
      <c r="I47" s="49">
        <v>17.5</v>
      </c>
      <c r="J47" s="43"/>
      <c r="K47" s="49">
        <v>0.8</v>
      </c>
      <c r="L47" s="52">
        <f t="shared" si="3"/>
        <v>0</v>
      </c>
      <c r="M47" s="43"/>
    </row>
    <row r="48" spans="1:13" ht="14.25" thickTop="1" thickBot="1" x14ac:dyDescent="0.25">
      <c r="A48" s="49" t="s">
        <v>65</v>
      </c>
      <c r="B48" s="49">
        <v>30</v>
      </c>
      <c r="C48" s="43"/>
      <c r="D48" s="49">
        <v>0.6</v>
      </c>
      <c r="E48" s="52">
        <f t="shared" si="2"/>
        <v>0</v>
      </c>
      <c r="F48" s="43"/>
      <c r="H48" s="49" t="s">
        <v>65</v>
      </c>
      <c r="I48" s="49">
        <v>30</v>
      </c>
      <c r="J48" s="43"/>
      <c r="K48" s="49">
        <v>0.8</v>
      </c>
      <c r="L48" s="52">
        <f t="shared" si="3"/>
        <v>0</v>
      </c>
      <c r="M48" s="43"/>
    </row>
    <row r="49" spans="1:14" ht="14.25" thickTop="1" thickBot="1" x14ac:dyDescent="0.25">
      <c r="A49" s="49" t="s">
        <v>66</v>
      </c>
      <c r="B49" s="49">
        <v>62.5</v>
      </c>
      <c r="C49" s="43"/>
      <c r="D49" s="49">
        <v>0.6</v>
      </c>
      <c r="E49" s="52">
        <f t="shared" si="2"/>
        <v>0</v>
      </c>
      <c r="F49" s="43"/>
      <c r="H49" s="49" t="s">
        <v>66</v>
      </c>
      <c r="I49" s="49">
        <v>62.5</v>
      </c>
      <c r="J49" s="43"/>
      <c r="K49" s="49">
        <v>0.8</v>
      </c>
      <c r="L49" s="52">
        <f t="shared" si="3"/>
        <v>0</v>
      </c>
      <c r="M49" s="43"/>
    </row>
    <row r="50" spans="1:14" ht="14.25" thickTop="1" thickBot="1" x14ac:dyDescent="0.25">
      <c r="A50" s="49" t="s">
        <v>67</v>
      </c>
      <c r="B50" s="49">
        <v>90</v>
      </c>
      <c r="C50" s="43"/>
      <c r="D50" s="49">
        <v>0.6</v>
      </c>
      <c r="E50" s="52">
        <f t="shared" si="2"/>
        <v>0</v>
      </c>
      <c r="F50" s="43"/>
      <c r="H50" s="49" t="s">
        <v>67</v>
      </c>
      <c r="I50" s="49">
        <v>90</v>
      </c>
      <c r="J50" s="43"/>
      <c r="K50" s="49">
        <v>0.8</v>
      </c>
      <c r="L50" s="52">
        <f t="shared" si="3"/>
        <v>0</v>
      </c>
      <c r="M50" s="43"/>
    </row>
    <row r="51" spans="1:14" ht="14.25" thickTop="1" thickBot="1" x14ac:dyDescent="0.25">
      <c r="A51" s="49" t="s">
        <v>68</v>
      </c>
      <c r="B51" s="49">
        <v>145</v>
      </c>
      <c r="C51" s="43"/>
      <c r="D51" s="49">
        <v>0.6</v>
      </c>
      <c r="E51" s="52">
        <f t="shared" si="2"/>
        <v>0</v>
      </c>
      <c r="F51" s="43"/>
      <c r="H51" s="49" t="s">
        <v>68</v>
      </c>
      <c r="I51" s="49">
        <v>145</v>
      </c>
      <c r="J51" s="43"/>
      <c r="K51" s="49">
        <v>0.8</v>
      </c>
      <c r="L51" s="52">
        <f t="shared" si="3"/>
        <v>0</v>
      </c>
      <c r="M51" s="43"/>
    </row>
    <row r="52" spans="1:14" ht="14.25" thickTop="1" thickBot="1" x14ac:dyDescent="0.25">
      <c r="A52" s="49" t="s">
        <v>69</v>
      </c>
      <c r="B52" s="49">
        <v>215</v>
      </c>
      <c r="C52" s="43"/>
      <c r="D52" s="49">
        <v>0.6</v>
      </c>
      <c r="E52" s="52">
        <f t="shared" si="2"/>
        <v>0</v>
      </c>
      <c r="F52" s="43"/>
      <c r="H52" s="49" t="s">
        <v>69</v>
      </c>
      <c r="I52" s="49">
        <v>215</v>
      </c>
      <c r="J52" s="43"/>
      <c r="K52" s="49">
        <v>0.8</v>
      </c>
      <c r="L52" s="52">
        <f t="shared" si="3"/>
        <v>0</v>
      </c>
      <c r="M52" s="43"/>
    </row>
    <row r="53" spans="1:14" ht="14.25" thickTop="1" thickBot="1" x14ac:dyDescent="0.25">
      <c r="D53" s="37" t="s">
        <v>70</v>
      </c>
      <c r="E53" s="52">
        <f>SUM(E43:E52)</f>
        <v>0</v>
      </c>
      <c r="F53" s="43">
        <f>SUM(F43:F52)</f>
        <v>0</v>
      </c>
      <c r="K53" s="37" t="s">
        <v>70</v>
      </c>
      <c r="L53" s="52">
        <f>SUM(L43:L52)</f>
        <v>0</v>
      </c>
      <c r="M53" s="43">
        <f>SUM(M43:M52)</f>
        <v>0</v>
      </c>
    </row>
    <row r="54" spans="1:14" ht="13.5" thickBot="1" x14ac:dyDescent="0.25">
      <c r="L54" s="50" t="s">
        <v>76</v>
      </c>
    </row>
    <row r="55" spans="1:14" ht="13.5" thickBot="1" x14ac:dyDescent="0.25">
      <c r="A55" s="37" t="s">
        <v>77</v>
      </c>
      <c r="L55" s="53">
        <f>I11+E33+F33+L33+M33+E53+F53+L53+M53</f>
        <v>0</v>
      </c>
      <c r="N55" s="127" t="s">
        <v>78</v>
      </c>
    </row>
    <row r="56" spans="1:14" x14ac:dyDescent="0.2">
      <c r="M56" s="127"/>
    </row>
    <row r="57" spans="1:14" x14ac:dyDescent="0.2">
      <c r="A57" s="38" t="s">
        <v>79</v>
      </c>
    </row>
    <row r="58" spans="1:14" x14ac:dyDescent="0.2">
      <c r="A58" s="36" t="s">
        <v>80</v>
      </c>
    </row>
  </sheetData>
  <printOptions gridLines="1"/>
  <pageMargins left="0.5" right="0.5" top="0.5" bottom="0.5" header="0.5" footer="0.5"/>
  <pageSetup scale="93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143"/>
  <sheetViews>
    <sheetView workbookViewId="0"/>
  </sheetViews>
  <sheetFormatPr defaultColWidth="9" defaultRowHeight="12.75" x14ac:dyDescent="0.2"/>
  <cols>
    <col min="1" max="1" width="10.5" style="8" bestFit="1" customWidth="1"/>
    <col min="2" max="2" width="11" style="8" bestFit="1" customWidth="1"/>
    <col min="3" max="3" width="11.25" style="8" bestFit="1" customWidth="1"/>
    <col min="4" max="5" width="10.875" style="8" bestFit="1" customWidth="1"/>
    <col min="6" max="6" width="11.25" style="8" bestFit="1" customWidth="1"/>
    <col min="7" max="8" width="9" style="8"/>
    <col min="9" max="9" width="9.875" style="8" bestFit="1" customWidth="1"/>
    <col min="10" max="16384" width="9" style="8"/>
  </cols>
  <sheetData>
    <row r="1" spans="1:5" ht="18" x14ac:dyDescent="0.25">
      <c r="A1" s="7" t="s">
        <v>81</v>
      </c>
    </row>
    <row r="2" spans="1:5" ht="12.75" customHeight="1" x14ac:dyDescent="0.25">
      <c r="A2" s="7"/>
    </row>
    <row r="3" spans="1:5" ht="12.75" customHeight="1" x14ac:dyDescent="0.2">
      <c r="A3" s="9" t="s">
        <v>82</v>
      </c>
    </row>
    <row r="4" spans="1:5" x14ac:dyDescent="0.2">
      <c r="A4" s="9" t="s">
        <v>20</v>
      </c>
      <c r="C4" s="8">
        <v>69</v>
      </c>
      <c r="E4" s="10"/>
    </row>
    <row r="5" spans="1:5" x14ac:dyDescent="0.2">
      <c r="A5" s="8" t="s">
        <v>21</v>
      </c>
      <c r="C5" s="8">
        <f>INDEX(WUP,index)</f>
        <v>718</v>
      </c>
    </row>
    <row r="6" spans="1:5" ht="18.75" customHeight="1" x14ac:dyDescent="0.2">
      <c r="A6" s="9" t="s">
        <v>19</v>
      </c>
      <c r="C6" s="8" t="str">
        <f>INDEX(Utility_Name,index)</f>
        <v>GASPARILLA ISLAND WATER ASSOC.</v>
      </c>
    </row>
    <row r="7" spans="1:5" x14ac:dyDescent="0.2">
      <c r="A7" s="8" t="s">
        <v>83</v>
      </c>
      <c r="C7" s="8">
        <v>2020</v>
      </c>
    </row>
    <row r="8" spans="1:5" x14ac:dyDescent="0.2">
      <c r="A8" s="8" t="s">
        <v>22</v>
      </c>
      <c r="C8" s="8">
        <f>'Index A-Residential Account'!D4</f>
        <v>2024</v>
      </c>
    </row>
    <row r="9" spans="1:5" x14ac:dyDescent="0.2">
      <c r="A9" s="183" t="s">
        <v>25</v>
      </c>
      <c r="B9" s="184"/>
      <c r="C9" s="184"/>
      <c r="D9" s="185"/>
    </row>
    <row r="11" spans="1:5" x14ac:dyDescent="0.2">
      <c r="A11" s="186" t="s">
        <v>84</v>
      </c>
      <c r="B11" s="187"/>
      <c r="C11" s="187"/>
      <c r="D11" s="188"/>
    </row>
    <row r="13" spans="1:5" x14ac:dyDescent="0.2">
      <c r="A13" s="189" t="s">
        <v>85</v>
      </c>
      <c r="B13" s="190"/>
      <c r="C13" s="190"/>
      <c r="D13" s="191"/>
    </row>
    <row r="15" spans="1:5" ht="15.75" x14ac:dyDescent="0.25">
      <c r="A15" s="12" t="s">
        <v>86</v>
      </c>
    </row>
    <row r="16" spans="1:5" x14ac:dyDescent="0.2">
      <c r="A16" s="13" t="s">
        <v>87</v>
      </c>
    </row>
    <row r="18" spans="1:4" x14ac:dyDescent="0.2">
      <c r="B18" s="14" t="s">
        <v>38</v>
      </c>
    </row>
    <row r="19" spans="1:4" x14ac:dyDescent="0.2">
      <c r="B19" s="14" t="s">
        <v>44</v>
      </c>
    </row>
    <row r="20" spans="1:4" x14ac:dyDescent="0.2">
      <c r="B20" s="14" t="s">
        <v>88</v>
      </c>
    </row>
    <row r="21" spans="1:4" x14ac:dyDescent="0.2">
      <c r="B21" s="14" t="s">
        <v>89</v>
      </c>
    </row>
    <row r="22" spans="1:4" x14ac:dyDescent="0.2">
      <c r="B22" s="14" t="s">
        <v>90</v>
      </c>
    </row>
    <row r="23" spans="1:4" ht="13.5" thickBot="1" x14ac:dyDescent="0.25">
      <c r="B23" s="15" t="s">
        <v>5</v>
      </c>
    </row>
    <row r="24" spans="1:4" ht="14.25" thickTop="1" thickBot="1" x14ac:dyDescent="0.25">
      <c r="B24" s="16">
        <f>PopulationServed!$E$12</f>
        <v>0</v>
      </c>
    </row>
    <row r="25" spans="1:4" ht="13.5" thickTop="1" x14ac:dyDescent="0.2"/>
    <row r="26" spans="1:4" ht="15.75" x14ac:dyDescent="0.25">
      <c r="A26" s="12" t="s">
        <v>91</v>
      </c>
    </row>
    <row r="27" spans="1:4" x14ac:dyDescent="0.2">
      <c r="A27" s="13" t="s">
        <v>92</v>
      </c>
    </row>
    <row r="28" spans="1:4" x14ac:dyDescent="0.2">
      <c r="A28" s="17"/>
    </row>
    <row r="29" spans="1:4" x14ac:dyDescent="0.2">
      <c r="A29" s="18" t="s">
        <v>93</v>
      </c>
      <c r="B29" s="18"/>
    </row>
    <row r="30" spans="1:4" x14ac:dyDescent="0.2">
      <c r="A30" s="18" t="s">
        <v>94</v>
      </c>
      <c r="B30" s="18" t="s">
        <v>93</v>
      </c>
      <c r="C30" s="18" t="s">
        <v>95</v>
      </c>
    </row>
    <row r="31" spans="1:4" x14ac:dyDescent="0.2">
      <c r="A31" s="18" t="s">
        <v>96</v>
      </c>
      <c r="B31" s="18" t="s">
        <v>94</v>
      </c>
      <c r="C31" s="18" t="s">
        <v>97</v>
      </c>
      <c r="D31" s="18" t="s">
        <v>93</v>
      </c>
    </row>
    <row r="32" spans="1:4" x14ac:dyDescent="0.2">
      <c r="A32" s="18" t="s">
        <v>98</v>
      </c>
      <c r="B32" s="18" t="s">
        <v>99</v>
      </c>
      <c r="C32" s="18" t="s">
        <v>100</v>
      </c>
      <c r="D32" s="18" t="s">
        <v>101</v>
      </c>
    </row>
    <row r="33" spans="1:5" x14ac:dyDescent="0.2">
      <c r="A33" s="18" t="s">
        <v>102</v>
      </c>
      <c r="B33" s="18" t="s">
        <v>102</v>
      </c>
      <c r="C33" s="18" t="s">
        <v>96</v>
      </c>
      <c r="D33" s="18" t="s">
        <v>88</v>
      </c>
    </row>
    <row r="34" spans="1:5" ht="13.5" thickBot="1" x14ac:dyDescent="0.25">
      <c r="A34" s="15" t="s">
        <v>103</v>
      </c>
      <c r="B34" s="15" t="s">
        <v>104</v>
      </c>
      <c r="C34" s="15" t="s">
        <v>105</v>
      </c>
      <c r="D34" s="15" t="s">
        <v>106</v>
      </c>
    </row>
    <row r="35" spans="1:5" ht="14.25" thickTop="1" thickBot="1" x14ac:dyDescent="0.25">
      <c r="A35" s="19">
        <f>INDEX(CPOPNHH,index)</f>
        <v>1482</v>
      </c>
      <c r="B35" s="19">
        <f>INDEX(CHH,index)</f>
        <v>768</v>
      </c>
      <c r="C35" s="19">
        <f>INDEX(CGRUPPOP,index)</f>
        <v>0</v>
      </c>
      <c r="D35" s="19">
        <f>INDEX(CHOUSUNITS,index)</f>
        <v>2071</v>
      </c>
    </row>
    <row r="36" spans="1:5" ht="13.5" thickTop="1" x14ac:dyDescent="0.2"/>
    <row r="37" spans="1:5" ht="15.75" x14ac:dyDescent="0.25">
      <c r="A37" s="12" t="s">
        <v>107</v>
      </c>
    </row>
    <row r="38" spans="1:5" ht="15.75" x14ac:dyDescent="0.25">
      <c r="A38" s="12"/>
      <c r="E38" s="14" t="s">
        <v>108</v>
      </c>
    </row>
    <row r="39" spans="1:5" ht="15.75" x14ac:dyDescent="0.25">
      <c r="A39" s="12"/>
      <c r="E39" s="14" t="s">
        <v>109</v>
      </c>
    </row>
    <row r="40" spans="1:5" ht="15.75" x14ac:dyDescent="0.25">
      <c r="A40" s="12"/>
      <c r="C40" s="14" t="s">
        <v>94</v>
      </c>
      <c r="E40" s="14" t="s">
        <v>110</v>
      </c>
    </row>
    <row r="41" spans="1:5" ht="13.5" thickBot="1" x14ac:dyDescent="0.25">
      <c r="C41" s="15" t="s">
        <v>111</v>
      </c>
      <c r="D41" s="20" t="s">
        <v>34</v>
      </c>
      <c r="E41" s="15" t="s">
        <v>111</v>
      </c>
    </row>
    <row r="42" spans="1:5" ht="14.25" thickTop="1" thickBot="1" x14ac:dyDescent="0.25">
      <c r="A42" s="8" t="s">
        <v>112</v>
      </c>
      <c r="C42" s="21">
        <f>A35/B35</f>
        <v>1.9296875</v>
      </c>
      <c r="E42" s="11"/>
    </row>
    <row r="45" spans="1:5" ht="15.75" x14ac:dyDescent="0.25">
      <c r="A45" s="12" t="s">
        <v>113</v>
      </c>
    </row>
    <row r="46" spans="1:5" x14ac:dyDescent="0.2">
      <c r="A46" s="10"/>
      <c r="B46" s="14" t="s">
        <v>108</v>
      </c>
    </row>
    <row r="47" spans="1:5" x14ac:dyDescent="0.2">
      <c r="A47" s="14"/>
      <c r="B47" s="14" t="s">
        <v>109</v>
      </c>
    </row>
    <row r="48" spans="1:5" x14ac:dyDescent="0.2">
      <c r="A48" s="14" t="s">
        <v>114</v>
      </c>
      <c r="B48" s="14" t="s">
        <v>110</v>
      </c>
    </row>
    <row r="49" spans="1:4" ht="13.5" thickBot="1" x14ac:dyDescent="0.25">
      <c r="A49" s="15" t="s">
        <v>115</v>
      </c>
      <c r="B49" s="15" t="s">
        <v>115</v>
      </c>
    </row>
    <row r="50" spans="1:4" ht="14.25" thickTop="1" thickBot="1" x14ac:dyDescent="0.25">
      <c r="A50" s="22">
        <v>1.95</v>
      </c>
      <c r="B50" s="23"/>
    </row>
    <row r="51" spans="1:4" ht="13.5" thickTop="1" x14ac:dyDescent="0.2"/>
    <row r="52" spans="1:4" ht="15.75" x14ac:dyDescent="0.25">
      <c r="A52" s="12" t="s">
        <v>116</v>
      </c>
    </row>
    <row r="53" spans="1:4" ht="15.75" x14ac:dyDescent="0.25">
      <c r="A53" s="12"/>
    </row>
    <row r="54" spans="1:4" s="9" customFormat="1" x14ac:dyDescent="0.2">
      <c r="A54" s="9" t="s">
        <v>117</v>
      </c>
    </row>
    <row r="55" spans="1:4" s="9" customFormat="1" x14ac:dyDescent="0.2">
      <c r="A55" s="8" t="s">
        <v>19</v>
      </c>
      <c r="C55" s="9" t="str">
        <f>C6</f>
        <v>GASPARILLA ISLAND WATER ASSOC.</v>
      </c>
    </row>
    <row r="56" spans="1:4" s="9" customFormat="1" x14ac:dyDescent="0.2">
      <c r="A56" s="8" t="s">
        <v>21</v>
      </c>
      <c r="C56" s="9">
        <f>$C$5</f>
        <v>718</v>
      </c>
    </row>
    <row r="57" spans="1:4" s="9" customFormat="1" x14ac:dyDescent="0.2">
      <c r="A57" s="8" t="s">
        <v>83</v>
      </c>
      <c r="C57" s="9">
        <f>$C$7</f>
        <v>2020</v>
      </c>
    </row>
    <row r="58" spans="1:4" s="9" customFormat="1" x14ac:dyDescent="0.2">
      <c r="A58" s="8" t="s">
        <v>22</v>
      </c>
      <c r="C58" s="9">
        <f>C8</f>
        <v>2024</v>
      </c>
    </row>
    <row r="59" spans="1:4" s="9" customFormat="1" x14ac:dyDescent="0.2">
      <c r="A59" s="8"/>
    </row>
    <row r="60" spans="1:4" s="9" customFormat="1" x14ac:dyDescent="0.2"/>
    <row r="61" spans="1:4" ht="15.75" x14ac:dyDescent="0.25">
      <c r="A61" s="12" t="s">
        <v>118</v>
      </c>
    </row>
    <row r="62" spans="1:4" x14ac:dyDescent="0.2">
      <c r="A62" s="13" t="s">
        <v>119</v>
      </c>
    </row>
    <row r="63" spans="1:4" ht="13.5" thickBot="1" x14ac:dyDescent="0.25">
      <c r="D63" s="15" t="s">
        <v>120</v>
      </c>
    </row>
    <row r="64" spans="1:4" ht="14.25" thickTop="1" thickBot="1" x14ac:dyDescent="0.25">
      <c r="A64" s="17" t="s">
        <v>121</v>
      </c>
      <c r="D64" s="24">
        <f>INDEX(SEASRR,index)</f>
        <v>1.5593999999999999</v>
      </c>
    </row>
    <row r="65" spans="1:6" ht="13.5" thickTop="1" x14ac:dyDescent="0.2">
      <c r="A65" s="20"/>
      <c r="B65" s="20"/>
      <c r="C65" s="20"/>
    </row>
    <row r="66" spans="1:6" x14ac:dyDescent="0.2">
      <c r="A66" s="14"/>
      <c r="B66" s="14"/>
      <c r="E66" s="14"/>
      <c r="F66" s="14"/>
    </row>
    <row r="67" spans="1:6" ht="15.75" x14ac:dyDescent="0.25">
      <c r="A67" s="12" t="s">
        <v>122</v>
      </c>
    </row>
    <row r="68" spans="1:6" ht="13.5" thickBot="1" x14ac:dyDescent="0.25">
      <c r="A68" s="17" t="s">
        <v>123</v>
      </c>
      <c r="D68" s="15" t="s">
        <v>124</v>
      </c>
    </row>
    <row r="69" spans="1:6" ht="13.5" thickBot="1" x14ac:dyDescent="0.25">
      <c r="A69" s="17" t="s">
        <v>125</v>
      </c>
      <c r="D69" s="25">
        <f>((D64-1)*A35)/A50</f>
        <v>425.14399999999995</v>
      </c>
    </row>
    <row r="72" spans="1:6" ht="15.75" x14ac:dyDescent="0.25">
      <c r="A72" s="12" t="s">
        <v>126</v>
      </c>
    </row>
    <row r="73" spans="1:6" ht="13.5" customHeight="1" x14ac:dyDescent="0.25">
      <c r="A73" s="12"/>
      <c r="F73" s="14" t="s">
        <v>108</v>
      </c>
    </row>
    <row r="74" spans="1:6" ht="13.5" customHeight="1" x14ac:dyDescent="0.25">
      <c r="A74" s="12"/>
      <c r="F74" s="14" t="s">
        <v>109</v>
      </c>
    </row>
    <row r="75" spans="1:6" ht="13.5" customHeight="1" x14ac:dyDescent="0.25">
      <c r="A75" s="12"/>
      <c r="F75" s="14" t="s">
        <v>110</v>
      </c>
    </row>
    <row r="76" spans="1:6" ht="13.5" thickBot="1" x14ac:dyDescent="0.25">
      <c r="D76" s="15" t="s">
        <v>127</v>
      </c>
      <c r="E76" s="20" t="s">
        <v>128</v>
      </c>
      <c r="F76" s="15" t="s">
        <v>127</v>
      </c>
    </row>
    <row r="77" spans="1:6" ht="14.25" thickTop="1" thickBot="1" x14ac:dyDescent="0.25">
      <c r="A77" s="17" t="s">
        <v>129</v>
      </c>
      <c r="D77" s="21">
        <f>D69/(B35+D69)</f>
        <v>0.35632245562983172</v>
      </c>
      <c r="F77" s="26"/>
    </row>
    <row r="80" spans="1:6" ht="15.75" x14ac:dyDescent="0.25">
      <c r="A80" s="12" t="s">
        <v>130</v>
      </c>
    </row>
    <row r="81" spans="1:5" ht="13.5" thickBot="1" x14ac:dyDescent="0.25">
      <c r="D81" s="15" t="s">
        <v>131</v>
      </c>
    </row>
    <row r="82" spans="1:5" ht="13.5" thickBot="1" x14ac:dyDescent="0.25">
      <c r="A82" s="17" t="s">
        <v>132</v>
      </c>
      <c r="D82" s="25">
        <f>B24*D77*A50</f>
        <v>0</v>
      </c>
    </row>
    <row r="85" spans="1:5" ht="15.75" x14ac:dyDescent="0.25">
      <c r="A85" s="12" t="s">
        <v>133</v>
      </c>
    </row>
    <row r="86" spans="1:5" ht="13.5" thickBot="1" x14ac:dyDescent="0.25">
      <c r="E86" s="15" t="s">
        <v>134</v>
      </c>
    </row>
    <row r="87" spans="1:5" ht="13.5" thickBot="1" x14ac:dyDescent="0.25">
      <c r="A87" s="17" t="s">
        <v>135</v>
      </c>
      <c r="E87" s="25">
        <f>(1-D77)*B24*C42</f>
        <v>0</v>
      </c>
    </row>
    <row r="90" spans="1:5" ht="15.75" x14ac:dyDescent="0.25">
      <c r="A90" s="12" t="s">
        <v>136</v>
      </c>
    </row>
    <row r="91" spans="1:5" x14ac:dyDescent="0.2">
      <c r="A91" s="18" t="s">
        <v>137</v>
      </c>
      <c r="B91" s="14" t="s">
        <v>138</v>
      </c>
      <c r="C91" s="14" t="s">
        <v>139</v>
      </c>
    </row>
    <row r="92" spans="1:5" x14ac:dyDescent="0.2">
      <c r="A92" s="18" t="s">
        <v>140</v>
      </c>
      <c r="B92" s="14" t="s">
        <v>140</v>
      </c>
      <c r="C92" s="14" t="s">
        <v>141</v>
      </c>
    </row>
    <row r="93" spans="1:5" x14ac:dyDescent="0.2">
      <c r="A93" s="18" t="s">
        <v>142</v>
      </c>
      <c r="B93" s="14" t="s">
        <v>142</v>
      </c>
      <c r="C93" s="14" t="s">
        <v>143</v>
      </c>
    </row>
    <row r="94" spans="1:5" x14ac:dyDescent="0.2">
      <c r="A94" s="14" t="s">
        <v>144</v>
      </c>
      <c r="B94" s="14" t="s">
        <v>145</v>
      </c>
      <c r="C94" s="14" t="s">
        <v>110</v>
      </c>
    </row>
    <row r="95" spans="1:5" ht="13.5" thickBot="1" x14ac:dyDescent="0.25">
      <c r="A95" s="15" t="s">
        <v>146</v>
      </c>
      <c r="B95" s="15" t="s">
        <v>146</v>
      </c>
      <c r="C95" s="15" t="s">
        <v>146</v>
      </c>
    </row>
    <row r="96" spans="1:5" ht="14.25" thickTop="1" thickBot="1" x14ac:dyDescent="0.25">
      <c r="A96" s="27"/>
      <c r="B96" s="27"/>
      <c r="C96" s="23">
        <f>INDEX(SEASPROP,index)</f>
        <v>0.442</v>
      </c>
    </row>
    <row r="97" spans="1:6" ht="13.5" thickTop="1" x14ac:dyDescent="0.2"/>
    <row r="99" spans="1:6" ht="15.75" x14ac:dyDescent="0.25">
      <c r="A99" s="12" t="s">
        <v>147</v>
      </c>
    </row>
    <row r="100" spans="1:6" ht="15.75" x14ac:dyDescent="0.25">
      <c r="A100" s="12"/>
    </row>
    <row r="101" spans="1:6" x14ac:dyDescent="0.2">
      <c r="A101" s="9" t="s">
        <v>148</v>
      </c>
    </row>
    <row r="102" spans="1:6" x14ac:dyDescent="0.2">
      <c r="A102" s="8" t="s">
        <v>19</v>
      </c>
      <c r="C102" s="9" t="str">
        <f>$C$55</f>
        <v>GASPARILLA ISLAND WATER ASSOC.</v>
      </c>
    </row>
    <row r="103" spans="1:6" x14ac:dyDescent="0.2">
      <c r="A103" s="8" t="s">
        <v>21</v>
      </c>
      <c r="C103" s="9">
        <f>$C$5</f>
        <v>718</v>
      </c>
    </row>
    <row r="104" spans="1:6" x14ac:dyDescent="0.2">
      <c r="A104" s="8" t="s">
        <v>83</v>
      </c>
      <c r="C104" s="9">
        <f>$C$7</f>
        <v>2020</v>
      </c>
    </row>
    <row r="105" spans="1:6" x14ac:dyDescent="0.2">
      <c r="A105" s="8" t="s">
        <v>22</v>
      </c>
      <c r="C105" s="9">
        <f>C8</f>
        <v>2024</v>
      </c>
    </row>
    <row r="108" spans="1:6" ht="15.75" x14ac:dyDescent="0.25">
      <c r="A108" s="12" t="s">
        <v>149</v>
      </c>
    </row>
    <row r="109" spans="1:6" ht="13.5" thickBot="1" x14ac:dyDescent="0.25">
      <c r="F109" s="15" t="s">
        <v>150</v>
      </c>
    </row>
    <row r="110" spans="1:6" ht="13.5" thickBot="1" x14ac:dyDescent="0.25">
      <c r="A110" s="8" t="s">
        <v>151</v>
      </c>
      <c r="F110" s="28">
        <f>((C96*132)+((1-C96)*(132-69.3)))/132</f>
        <v>0.70705000000000007</v>
      </c>
    </row>
    <row r="113" spans="1:6" ht="15.75" x14ac:dyDescent="0.25">
      <c r="A113" s="12" t="s">
        <v>152</v>
      </c>
    </row>
    <row r="114" spans="1:6" ht="15.75" x14ac:dyDescent="0.25">
      <c r="A114" s="12" t="s">
        <v>153</v>
      </c>
    </row>
    <row r="115" spans="1:6" ht="13.5" thickBot="1" x14ac:dyDescent="0.25">
      <c r="D115" s="15" t="s">
        <v>154</v>
      </c>
    </row>
    <row r="116" spans="1:6" ht="13.5" thickBot="1" x14ac:dyDescent="0.25">
      <c r="A116" s="17" t="s">
        <v>155</v>
      </c>
      <c r="D116" s="25">
        <f>D82*F110</f>
        <v>0</v>
      </c>
    </row>
    <row r="117" spans="1:6" x14ac:dyDescent="0.2">
      <c r="A117" s="17"/>
    </row>
    <row r="119" spans="1:6" ht="15.75" x14ac:dyDescent="0.25">
      <c r="A119" s="12" t="s">
        <v>156</v>
      </c>
    </row>
    <row r="120" spans="1:6" ht="13.5" thickBot="1" x14ac:dyDescent="0.25">
      <c r="F120" s="29" t="s">
        <v>157</v>
      </c>
    </row>
    <row r="121" spans="1:6" ht="13.5" thickBot="1" x14ac:dyDescent="0.25">
      <c r="A121" s="17" t="s">
        <v>158</v>
      </c>
      <c r="F121" s="30">
        <f>(C35/D35)*B24</f>
        <v>0</v>
      </c>
    </row>
    <row r="122" spans="1:6" x14ac:dyDescent="0.2">
      <c r="A122" s="17"/>
    </row>
    <row r="124" spans="1:6" ht="15.75" x14ac:dyDescent="0.25">
      <c r="A124" s="12" t="s">
        <v>159</v>
      </c>
    </row>
    <row r="125" spans="1:6" ht="15.75" x14ac:dyDescent="0.25">
      <c r="A125" s="12" t="s">
        <v>160</v>
      </c>
    </row>
    <row r="126" spans="1:6" ht="13.5" thickBot="1" x14ac:dyDescent="0.25">
      <c r="D126" s="15" t="s">
        <v>161</v>
      </c>
    </row>
    <row r="127" spans="1:6" ht="13.5" thickBot="1" x14ac:dyDescent="0.25">
      <c r="A127" s="17" t="s">
        <v>162</v>
      </c>
      <c r="D127" s="25">
        <f>E87+D116+F121</f>
        <v>0</v>
      </c>
    </row>
    <row r="134" spans="1:9" ht="16.5" thickBot="1" x14ac:dyDescent="0.3">
      <c r="A134" s="12" t="s">
        <v>163</v>
      </c>
      <c r="I134" s="29" t="s">
        <v>164</v>
      </c>
    </row>
    <row r="135" spans="1:9" ht="14.25" thickTop="1" thickBot="1" x14ac:dyDescent="0.25">
      <c r="A135" s="8" t="s">
        <v>165</v>
      </c>
      <c r="I135" s="31">
        <f>INDEX(FTOURPOP,index)</f>
        <v>598.79353218300002</v>
      </c>
    </row>
    <row r="136" spans="1:9" ht="13.5" thickTop="1" x14ac:dyDescent="0.2">
      <c r="A136" s="13" t="s">
        <v>166</v>
      </c>
      <c r="I136" s="32"/>
    </row>
    <row r="138" spans="1:9" ht="15.75" x14ac:dyDescent="0.25">
      <c r="A138" s="12" t="s">
        <v>167</v>
      </c>
    </row>
    <row r="139" spans="1:9" ht="13.5" thickBot="1" x14ac:dyDescent="0.25">
      <c r="A139" s="13" t="s">
        <v>168</v>
      </c>
      <c r="I139" s="29" t="s">
        <v>169</v>
      </c>
    </row>
    <row r="140" spans="1:9" ht="14.25" thickTop="1" thickBot="1" x14ac:dyDescent="0.25">
      <c r="I140" s="34">
        <f>IF(INDEX(C_A_B,index)&gt;0,INDEX(C_A_B,index)*B24*(8/24)*(5/7),0)</f>
        <v>0</v>
      </c>
    </row>
    <row r="141" spans="1:9" ht="13.5" thickTop="1" x14ac:dyDescent="0.2"/>
    <row r="142" spans="1:9" ht="16.5" thickBot="1" x14ac:dyDescent="0.3">
      <c r="A142" s="12" t="s">
        <v>170</v>
      </c>
    </row>
    <row r="143" spans="1:9" ht="16.5" thickBot="1" x14ac:dyDescent="0.3">
      <c r="A143" s="12" t="s">
        <v>171</v>
      </c>
      <c r="I143" s="33">
        <f>D127+I135+I140</f>
        <v>598.79353218300002</v>
      </c>
    </row>
  </sheetData>
  <mergeCells count="3">
    <mergeCell ref="A9:D9"/>
    <mergeCell ref="A11:D11"/>
    <mergeCell ref="A13:D13"/>
  </mergeCells>
  <printOptions gridLines="1"/>
  <pageMargins left="0.5" right="0.5" top="0.5" bottom="0.5" header="0.5" footer="0.5"/>
  <pageSetup scale="91" fitToHeight="0" orientation="portrait" r:id="rId1"/>
  <headerFooter alignWithMargins="0"/>
  <rowBreaks count="2" manualBreakCount="2">
    <brk id="51" max="8" man="1"/>
    <brk id="98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38"/>
  <sheetViews>
    <sheetView workbookViewId="0"/>
  </sheetViews>
  <sheetFormatPr defaultColWidth="9" defaultRowHeight="12.75" x14ac:dyDescent="0.2"/>
  <cols>
    <col min="1" max="1" width="10.5" style="56" bestFit="1" customWidth="1"/>
    <col min="2" max="2" width="9" style="56" bestFit="1" customWidth="1"/>
    <col min="3" max="5" width="9" style="56"/>
    <col min="6" max="6" width="8.75" style="56" bestFit="1" customWidth="1"/>
    <col min="7" max="7" width="9.875" style="56" bestFit="1" customWidth="1"/>
    <col min="8" max="16384" width="9" style="56"/>
  </cols>
  <sheetData>
    <row r="1" spans="1:5" ht="18" x14ac:dyDescent="0.25">
      <c r="A1" s="55" t="s">
        <v>172</v>
      </c>
    </row>
    <row r="2" spans="1:5" ht="18" x14ac:dyDescent="0.25">
      <c r="A2" s="55"/>
      <c r="C2" s="57"/>
    </row>
    <row r="3" spans="1:5" x14ac:dyDescent="0.2">
      <c r="A3" s="56" t="s">
        <v>173</v>
      </c>
    </row>
    <row r="4" spans="1:5" x14ac:dyDescent="0.2">
      <c r="A4" s="56" t="s">
        <v>19</v>
      </c>
      <c r="C4" s="8" t="str">
        <f>INDEX(Utility_Name,index)</f>
        <v>GASPARILLA ISLAND WATER ASSOC.</v>
      </c>
    </row>
    <row r="5" spans="1:5" x14ac:dyDescent="0.2">
      <c r="A5" s="56" t="s">
        <v>21</v>
      </c>
      <c r="C5" s="8">
        <f>INDEX(WUP,index)</f>
        <v>718</v>
      </c>
    </row>
    <row r="6" spans="1:5" ht="13.5" thickBot="1" x14ac:dyDescent="0.25">
      <c r="A6" s="56" t="s">
        <v>174</v>
      </c>
      <c r="C6" s="8">
        <f>'Index A-Residential Account'!D4</f>
        <v>2024</v>
      </c>
    </row>
    <row r="7" spans="1:5" ht="14.25" thickTop="1" thickBot="1" x14ac:dyDescent="0.25">
      <c r="A7" s="58" t="s">
        <v>175</v>
      </c>
      <c r="B7" s="59"/>
      <c r="C7" s="59"/>
      <c r="D7" s="59"/>
      <c r="E7" s="60"/>
    </row>
    <row r="8" spans="1:5" ht="13.5" thickBot="1" x14ac:dyDescent="0.25">
      <c r="A8" s="62" t="s">
        <v>26</v>
      </c>
      <c r="B8" s="63"/>
      <c r="C8" s="63"/>
      <c r="D8" s="63"/>
      <c r="E8" s="64"/>
    </row>
    <row r="11" spans="1:5" x14ac:dyDescent="0.2">
      <c r="A11" s="56" t="s">
        <v>176</v>
      </c>
    </row>
    <row r="12" spans="1:5" x14ac:dyDescent="0.2">
      <c r="A12" s="56" t="s">
        <v>177</v>
      </c>
    </row>
    <row r="13" spans="1:5" x14ac:dyDescent="0.2">
      <c r="A13" s="56" t="s">
        <v>178</v>
      </c>
    </row>
    <row r="14" spans="1:5" x14ac:dyDescent="0.2">
      <c r="A14" s="56" t="s">
        <v>179</v>
      </c>
    </row>
    <row r="16" spans="1:5" ht="15.75" x14ac:dyDescent="0.25">
      <c r="A16" s="66" t="s">
        <v>180</v>
      </c>
    </row>
    <row r="18" spans="1:7" x14ac:dyDescent="0.2">
      <c r="A18" s="57" t="s">
        <v>181</v>
      </c>
    </row>
    <row r="19" spans="1:7" x14ac:dyDescent="0.2">
      <c r="A19" s="56" t="s">
        <v>182</v>
      </c>
    </row>
    <row r="20" spans="1:7" x14ac:dyDescent="0.2">
      <c r="A20" s="56" t="s">
        <v>183</v>
      </c>
    </row>
    <row r="21" spans="1:7" x14ac:dyDescent="0.2">
      <c r="G21" s="56" t="s">
        <v>184</v>
      </c>
    </row>
    <row r="22" spans="1:7" ht="13.5" thickBot="1" x14ac:dyDescent="0.25">
      <c r="A22" s="192" t="s">
        <v>185</v>
      </c>
      <c r="B22" s="192"/>
      <c r="C22" s="192"/>
      <c r="D22" s="192"/>
      <c r="E22" s="192"/>
      <c r="G22" s="56" t="s">
        <v>186</v>
      </c>
    </row>
    <row r="23" spans="1:7" ht="14.25" thickTop="1" thickBot="1" x14ac:dyDescent="0.25">
      <c r="A23" s="194"/>
      <c r="B23" s="195"/>
      <c r="C23" s="195"/>
      <c r="D23" s="195"/>
      <c r="E23" s="196"/>
      <c r="G23" s="61"/>
    </row>
    <row r="24" spans="1:7" ht="14.25" thickTop="1" thickBot="1" x14ac:dyDescent="0.25">
      <c r="A24" s="194"/>
      <c r="B24" s="195"/>
      <c r="C24" s="195"/>
      <c r="D24" s="195"/>
      <c r="E24" s="196"/>
      <c r="G24" s="61"/>
    </row>
    <row r="25" spans="1:7" ht="14.25" thickTop="1" thickBot="1" x14ac:dyDescent="0.25">
      <c r="A25" s="194"/>
      <c r="B25" s="195"/>
      <c r="C25" s="195"/>
      <c r="D25" s="195"/>
      <c r="E25" s="196"/>
      <c r="G25" s="61"/>
    </row>
    <row r="26" spans="1:7" ht="14.25" thickTop="1" thickBot="1" x14ac:dyDescent="0.25">
      <c r="A26" s="194"/>
      <c r="B26" s="195"/>
      <c r="C26" s="195"/>
      <c r="D26" s="195"/>
      <c r="E26" s="196"/>
      <c r="G26" s="61"/>
    </row>
    <row r="27" spans="1:7" ht="14.25" thickTop="1" thickBot="1" x14ac:dyDescent="0.25">
      <c r="A27" s="194"/>
      <c r="B27" s="195"/>
      <c r="C27" s="195"/>
      <c r="D27" s="195"/>
      <c r="E27" s="196"/>
      <c r="G27" s="61"/>
    </row>
    <row r="28" spans="1:7" ht="14.25" thickTop="1" thickBot="1" x14ac:dyDescent="0.25">
      <c r="A28" s="194"/>
      <c r="B28" s="195"/>
      <c r="C28" s="195"/>
      <c r="D28" s="195"/>
      <c r="E28" s="196"/>
      <c r="G28" s="61"/>
    </row>
    <row r="29" spans="1:7" ht="14.25" thickTop="1" thickBot="1" x14ac:dyDescent="0.25">
      <c r="A29" s="194"/>
      <c r="B29" s="195"/>
      <c r="C29" s="195"/>
      <c r="D29" s="195"/>
      <c r="E29" s="196"/>
      <c r="G29" s="61"/>
    </row>
    <row r="30" spans="1:7" ht="14.25" thickTop="1" thickBot="1" x14ac:dyDescent="0.25">
      <c r="A30" s="194"/>
      <c r="B30" s="195"/>
      <c r="C30" s="195"/>
      <c r="D30" s="195"/>
      <c r="E30" s="196"/>
      <c r="G30" s="61"/>
    </row>
    <row r="31" spans="1:7" ht="14.25" thickTop="1" thickBot="1" x14ac:dyDescent="0.25">
      <c r="A31" s="194"/>
      <c r="B31" s="195"/>
      <c r="C31" s="195"/>
      <c r="D31" s="195"/>
      <c r="E31" s="196"/>
      <c r="G31" s="61"/>
    </row>
    <row r="32" spans="1:7" ht="14.25" thickTop="1" thickBot="1" x14ac:dyDescent="0.25">
      <c r="A32" s="179"/>
      <c r="B32" s="179"/>
      <c r="C32" s="179"/>
      <c r="D32" s="179"/>
      <c r="E32" s="179"/>
      <c r="G32" s="180" t="s">
        <v>187</v>
      </c>
    </row>
    <row r="33" spans="1:7" ht="13.5" thickBot="1" x14ac:dyDescent="0.25">
      <c r="C33" s="56" t="s">
        <v>188</v>
      </c>
      <c r="G33" s="84">
        <f>INDEX(ROOMS,index)</f>
        <v>330</v>
      </c>
    </row>
    <row r="35" spans="1:7" x14ac:dyDescent="0.2">
      <c r="A35" s="57" t="s">
        <v>189</v>
      </c>
    </row>
    <row r="36" spans="1:7" x14ac:dyDescent="0.2">
      <c r="A36" s="56" t="s">
        <v>190</v>
      </c>
    </row>
    <row r="37" spans="1:7" x14ac:dyDescent="0.2">
      <c r="A37" s="56" t="s">
        <v>191</v>
      </c>
    </row>
    <row r="38" spans="1:7" x14ac:dyDescent="0.2">
      <c r="A38" s="56" t="s">
        <v>192</v>
      </c>
    </row>
    <row r="39" spans="1:7" x14ac:dyDescent="0.2">
      <c r="A39" s="56" t="s">
        <v>193</v>
      </c>
    </row>
    <row r="40" spans="1:7" x14ac:dyDescent="0.2">
      <c r="A40" s="67" t="s">
        <v>194</v>
      </c>
      <c r="G40" s="179" t="s">
        <v>195</v>
      </c>
    </row>
    <row r="41" spans="1:7" x14ac:dyDescent="0.2">
      <c r="G41" s="179" t="s">
        <v>196</v>
      </c>
    </row>
    <row r="42" spans="1:7" ht="13.5" thickBot="1" x14ac:dyDescent="0.25">
      <c r="A42" s="179" t="s">
        <v>197</v>
      </c>
      <c r="G42" s="179" t="s">
        <v>198</v>
      </c>
    </row>
    <row r="43" spans="1:7" ht="14.25" thickTop="1" thickBot="1" x14ac:dyDescent="0.25">
      <c r="A43" s="56" t="s">
        <v>199</v>
      </c>
      <c r="G43" s="61"/>
    </row>
    <row r="44" spans="1:7" ht="14.25" thickTop="1" thickBot="1" x14ac:dyDescent="0.25">
      <c r="A44" s="56" t="s">
        <v>200</v>
      </c>
      <c r="G44" s="61"/>
    </row>
    <row r="45" spans="1:7" ht="14.25" thickTop="1" thickBot="1" x14ac:dyDescent="0.25">
      <c r="A45" s="56" t="s">
        <v>201</v>
      </c>
      <c r="G45" s="61"/>
    </row>
    <row r="46" spans="1:7" ht="14.25" thickTop="1" thickBot="1" x14ac:dyDescent="0.25">
      <c r="A46" s="56" t="s">
        <v>202</v>
      </c>
      <c r="G46" s="61"/>
    </row>
    <row r="47" spans="1:7" ht="14.25" thickTop="1" thickBot="1" x14ac:dyDescent="0.25">
      <c r="A47" s="56" t="s">
        <v>203</v>
      </c>
      <c r="G47" s="61"/>
    </row>
    <row r="48" spans="1:7" ht="14.25" thickTop="1" thickBot="1" x14ac:dyDescent="0.25">
      <c r="A48" s="56" t="s">
        <v>204</v>
      </c>
      <c r="G48" s="61"/>
    </row>
    <row r="49" spans="1:7" ht="14.25" thickTop="1" thickBot="1" x14ac:dyDescent="0.25">
      <c r="A49" s="56" t="s">
        <v>205</v>
      </c>
      <c r="G49" s="61"/>
    </row>
    <row r="50" spans="1:7" ht="14.25" thickTop="1" thickBot="1" x14ac:dyDescent="0.25">
      <c r="A50" s="56" t="s">
        <v>206</v>
      </c>
      <c r="G50" s="61"/>
    </row>
    <row r="51" spans="1:7" ht="14.25" thickTop="1" thickBot="1" x14ac:dyDescent="0.25">
      <c r="A51" s="56" t="s">
        <v>207</v>
      </c>
      <c r="G51" s="61"/>
    </row>
    <row r="52" spans="1:7" ht="14.25" thickTop="1" thickBot="1" x14ac:dyDescent="0.25">
      <c r="A52" s="56" t="s">
        <v>208</v>
      </c>
      <c r="G52" s="61"/>
    </row>
    <row r="53" spans="1:7" ht="14.25" thickTop="1" thickBot="1" x14ac:dyDescent="0.25">
      <c r="A53" s="56" t="s">
        <v>209</v>
      </c>
      <c r="G53" s="61"/>
    </row>
    <row r="54" spans="1:7" ht="14.25" thickTop="1" thickBot="1" x14ac:dyDescent="0.25">
      <c r="A54" s="56" t="s">
        <v>210</v>
      </c>
      <c r="G54" s="61"/>
    </row>
    <row r="55" spans="1:7" ht="14.25" thickTop="1" thickBot="1" x14ac:dyDescent="0.25">
      <c r="G55" s="180" t="s">
        <v>55</v>
      </c>
    </row>
    <row r="56" spans="1:7" ht="13.5" thickBot="1" x14ac:dyDescent="0.25">
      <c r="A56" s="56" t="s">
        <v>211</v>
      </c>
      <c r="G56" s="65"/>
    </row>
    <row r="57" spans="1:7" ht="13.5" thickBot="1" x14ac:dyDescent="0.25">
      <c r="G57" s="180" t="s">
        <v>56</v>
      </c>
    </row>
    <row r="58" spans="1:7" ht="13.5" thickBot="1" x14ac:dyDescent="0.25">
      <c r="A58" s="56" t="s">
        <v>212</v>
      </c>
      <c r="G58" s="85">
        <f>INDEX(D,index)</f>
        <v>0.67204661300000001</v>
      </c>
    </row>
    <row r="60" spans="1:7" x14ac:dyDescent="0.2">
      <c r="A60" s="57" t="s">
        <v>213</v>
      </c>
    </row>
    <row r="61" spans="1:7" x14ac:dyDescent="0.2">
      <c r="A61" s="56" t="s">
        <v>214</v>
      </c>
    </row>
    <row r="62" spans="1:7" x14ac:dyDescent="0.2">
      <c r="A62" s="56" t="s">
        <v>215</v>
      </c>
    </row>
    <row r="63" spans="1:7" x14ac:dyDescent="0.2">
      <c r="A63" s="56" t="s">
        <v>216</v>
      </c>
    </row>
    <row r="65" spans="1:7" x14ac:dyDescent="0.2">
      <c r="A65" s="56" t="s">
        <v>217</v>
      </c>
    </row>
    <row r="67" spans="1:7" x14ac:dyDescent="0.2">
      <c r="A67" s="56" t="s">
        <v>218</v>
      </c>
      <c r="C67" s="192" t="s">
        <v>219</v>
      </c>
      <c r="D67" s="192"/>
      <c r="E67" s="56" t="s">
        <v>220</v>
      </c>
      <c r="F67" s="56" t="s">
        <v>221</v>
      </c>
    </row>
    <row r="68" spans="1:7" x14ac:dyDescent="0.2">
      <c r="A68" s="56" t="s">
        <v>222</v>
      </c>
      <c r="C68" s="192" t="s">
        <v>223</v>
      </c>
      <c r="D68" s="192"/>
      <c r="E68" s="56" t="s">
        <v>224</v>
      </c>
      <c r="F68" s="56" t="s">
        <v>225</v>
      </c>
    </row>
    <row r="69" spans="1:7" ht="13.5" thickBot="1" x14ac:dyDescent="0.25">
      <c r="A69" s="56" t="s">
        <v>226</v>
      </c>
      <c r="C69" s="192" t="s">
        <v>227</v>
      </c>
      <c r="D69" s="192"/>
      <c r="E69" s="56" t="s">
        <v>143</v>
      </c>
      <c r="F69" s="56" t="s">
        <v>228</v>
      </c>
      <c r="G69" s="180" t="s">
        <v>229</v>
      </c>
    </row>
    <row r="70" spans="1:7" ht="14.25" thickTop="1" thickBot="1" x14ac:dyDescent="0.25">
      <c r="A70" s="194"/>
      <c r="B70" s="196"/>
      <c r="C70" s="194"/>
      <c r="D70" s="196"/>
      <c r="E70" s="61"/>
      <c r="F70" s="61"/>
      <c r="G70" s="61">
        <f>INDEX(E,index)</f>
        <v>2.7</v>
      </c>
    </row>
    <row r="71" spans="1:7" ht="13.5" thickTop="1" x14ac:dyDescent="0.2"/>
    <row r="72" spans="1:7" ht="13.5" thickBot="1" x14ac:dyDescent="0.25">
      <c r="A72" s="57" t="s">
        <v>230</v>
      </c>
      <c r="G72" s="180" t="s">
        <v>231</v>
      </c>
    </row>
    <row r="73" spans="1:7" ht="13.5" thickBot="1" x14ac:dyDescent="0.25">
      <c r="A73" s="56" t="s">
        <v>232</v>
      </c>
      <c r="G73" s="84">
        <f>G33*G58*G70</f>
        <v>598.79353218300002</v>
      </c>
    </row>
    <row r="75" spans="1:7" ht="15.75" x14ac:dyDescent="0.25">
      <c r="A75" s="66" t="s">
        <v>233</v>
      </c>
    </row>
    <row r="76" spans="1:7" x14ac:dyDescent="0.2">
      <c r="A76" s="56" t="s">
        <v>214</v>
      </c>
    </row>
    <row r="77" spans="1:7" x14ac:dyDescent="0.2">
      <c r="A77" s="56" t="s">
        <v>234</v>
      </c>
    </row>
    <row r="78" spans="1:7" x14ac:dyDescent="0.2">
      <c r="A78" s="56" t="s">
        <v>235</v>
      </c>
    </row>
    <row r="80" spans="1:7" x14ac:dyDescent="0.2">
      <c r="A80" s="57" t="s">
        <v>236</v>
      </c>
    </row>
    <row r="81" spans="1:7" x14ac:dyDescent="0.2">
      <c r="F81" s="179" t="s">
        <v>15</v>
      </c>
    </row>
    <row r="82" spans="1:7" x14ac:dyDescent="0.2">
      <c r="B82" s="56" t="s">
        <v>237</v>
      </c>
      <c r="E82" s="179" t="s">
        <v>195</v>
      </c>
      <c r="F82" s="179" t="s">
        <v>238</v>
      </c>
      <c r="G82" s="56" t="s">
        <v>239</v>
      </c>
    </row>
    <row r="83" spans="1:7" x14ac:dyDescent="0.2">
      <c r="B83" s="56" t="s">
        <v>240</v>
      </c>
      <c r="E83" s="179" t="s">
        <v>241</v>
      </c>
      <c r="F83" s="179" t="s">
        <v>241</v>
      </c>
      <c r="G83" s="56" t="s">
        <v>242</v>
      </c>
    </row>
    <row r="84" spans="1:7" x14ac:dyDescent="0.2">
      <c r="A84" s="179" t="s">
        <v>197</v>
      </c>
      <c r="B84" s="192" t="s">
        <v>243</v>
      </c>
      <c r="C84" s="192"/>
      <c r="D84" s="56" t="s">
        <v>244</v>
      </c>
      <c r="E84" s="179" t="s">
        <v>245</v>
      </c>
      <c r="F84" s="179" t="s">
        <v>198</v>
      </c>
      <c r="G84" s="56" t="s">
        <v>197</v>
      </c>
    </row>
    <row r="85" spans="1:7" ht="13.5" thickBot="1" x14ac:dyDescent="0.25">
      <c r="A85" s="179"/>
      <c r="B85" s="193" t="s">
        <v>76</v>
      </c>
      <c r="C85" s="193"/>
      <c r="D85" s="180" t="s">
        <v>246</v>
      </c>
      <c r="E85" s="180" t="s">
        <v>247</v>
      </c>
      <c r="F85" s="180" t="s">
        <v>248</v>
      </c>
      <c r="G85" s="180" t="s">
        <v>249</v>
      </c>
    </row>
    <row r="86" spans="1:7" ht="14.25" thickTop="1" thickBot="1" x14ac:dyDescent="0.25">
      <c r="A86" s="56" t="s">
        <v>199</v>
      </c>
      <c r="B86" s="194"/>
      <c r="C86" s="196"/>
      <c r="D86" s="68"/>
      <c r="E86" s="69"/>
      <c r="F86" s="68"/>
      <c r="G86" s="65"/>
    </row>
    <row r="87" spans="1:7" ht="14.25" thickTop="1" thickBot="1" x14ac:dyDescent="0.25">
      <c r="A87" s="56" t="s">
        <v>200</v>
      </c>
      <c r="B87" s="194"/>
      <c r="C87" s="196"/>
      <c r="D87" s="68"/>
      <c r="E87" s="69"/>
      <c r="F87" s="68"/>
      <c r="G87" s="65"/>
    </row>
    <row r="88" spans="1:7" ht="14.25" thickTop="1" thickBot="1" x14ac:dyDescent="0.25">
      <c r="A88" s="56" t="s">
        <v>201</v>
      </c>
      <c r="B88" s="194"/>
      <c r="C88" s="196"/>
      <c r="D88" s="68"/>
      <c r="E88" s="69"/>
      <c r="F88" s="68"/>
      <c r="G88" s="65"/>
    </row>
    <row r="89" spans="1:7" ht="14.25" thickTop="1" thickBot="1" x14ac:dyDescent="0.25">
      <c r="A89" s="56" t="s">
        <v>202</v>
      </c>
      <c r="B89" s="194"/>
      <c r="C89" s="196"/>
      <c r="D89" s="68"/>
      <c r="E89" s="69"/>
      <c r="F89" s="68"/>
      <c r="G89" s="65"/>
    </row>
    <row r="90" spans="1:7" ht="14.25" thickTop="1" thickBot="1" x14ac:dyDescent="0.25">
      <c r="A90" s="56" t="s">
        <v>203</v>
      </c>
      <c r="B90" s="194"/>
      <c r="C90" s="196"/>
      <c r="D90" s="68"/>
      <c r="E90" s="69"/>
      <c r="F90" s="68"/>
      <c r="G90" s="65"/>
    </row>
    <row r="91" spans="1:7" ht="14.25" thickTop="1" thickBot="1" x14ac:dyDescent="0.25">
      <c r="A91" s="56" t="s">
        <v>204</v>
      </c>
      <c r="B91" s="194"/>
      <c r="C91" s="196"/>
      <c r="D91" s="68"/>
      <c r="E91" s="69"/>
      <c r="F91" s="68"/>
      <c r="G91" s="65"/>
    </row>
    <row r="92" spans="1:7" ht="14.25" thickTop="1" thickBot="1" x14ac:dyDescent="0.25">
      <c r="A92" s="56" t="s">
        <v>205</v>
      </c>
      <c r="B92" s="194"/>
      <c r="C92" s="196"/>
      <c r="D92" s="68"/>
      <c r="E92" s="69"/>
      <c r="F92" s="68"/>
      <c r="G92" s="65"/>
    </row>
    <row r="93" spans="1:7" ht="14.25" thickTop="1" thickBot="1" x14ac:dyDescent="0.25">
      <c r="A93" s="56" t="s">
        <v>206</v>
      </c>
      <c r="B93" s="194"/>
      <c r="C93" s="196"/>
      <c r="D93" s="68"/>
      <c r="E93" s="69"/>
      <c r="F93" s="68"/>
      <c r="G93" s="65"/>
    </row>
    <row r="94" spans="1:7" ht="14.25" thickTop="1" thickBot="1" x14ac:dyDescent="0.25">
      <c r="A94" s="56" t="s">
        <v>207</v>
      </c>
      <c r="B94" s="194"/>
      <c r="C94" s="196"/>
      <c r="D94" s="68"/>
      <c r="E94" s="69"/>
      <c r="F94" s="68"/>
      <c r="G94" s="65"/>
    </row>
    <row r="95" spans="1:7" ht="14.25" thickTop="1" thickBot="1" x14ac:dyDescent="0.25">
      <c r="A95" s="56" t="s">
        <v>208</v>
      </c>
      <c r="B95" s="194"/>
      <c r="C95" s="196"/>
      <c r="D95" s="68"/>
      <c r="E95" s="69"/>
      <c r="F95" s="68"/>
      <c r="G95" s="65"/>
    </row>
    <row r="96" spans="1:7" ht="14.25" thickTop="1" thickBot="1" x14ac:dyDescent="0.25">
      <c r="A96" s="56" t="s">
        <v>209</v>
      </c>
      <c r="B96" s="194"/>
      <c r="C96" s="196"/>
      <c r="D96" s="68"/>
      <c r="E96" s="69"/>
      <c r="F96" s="68"/>
      <c r="G96" s="65"/>
    </row>
    <row r="97" spans="1:7" ht="14.25" thickTop="1" thickBot="1" x14ac:dyDescent="0.25">
      <c r="A97" s="56" t="s">
        <v>210</v>
      </c>
      <c r="B97" s="194"/>
      <c r="C97" s="196"/>
      <c r="D97" s="68"/>
      <c r="E97" s="69"/>
      <c r="F97" s="68"/>
      <c r="G97" s="65"/>
    </row>
    <row r="98" spans="1:7" ht="13.5" thickTop="1" x14ac:dyDescent="0.2"/>
    <row r="99" spans="1:7" ht="13.5" thickBot="1" x14ac:dyDescent="0.25">
      <c r="G99" s="180" t="s">
        <v>250</v>
      </c>
    </row>
    <row r="100" spans="1:7" ht="13.5" thickBot="1" x14ac:dyDescent="0.25">
      <c r="C100" s="56" t="s">
        <v>251</v>
      </c>
      <c r="G100" s="65"/>
    </row>
    <row r="102" spans="1:7" x14ac:dyDescent="0.2">
      <c r="A102" s="57" t="s">
        <v>252</v>
      </c>
    </row>
    <row r="103" spans="1:7" x14ac:dyDescent="0.2">
      <c r="A103" s="56" t="s">
        <v>214</v>
      </c>
    </row>
    <row r="104" spans="1:7" x14ac:dyDescent="0.2">
      <c r="A104" s="56" t="s">
        <v>215</v>
      </c>
    </row>
    <row r="105" spans="1:7" x14ac:dyDescent="0.2">
      <c r="A105" s="56" t="s">
        <v>253</v>
      </c>
    </row>
    <row r="107" spans="1:7" x14ac:dyDescent="0.2">
      <c r="A107" s="56" t="s">
        <v>254</v>
      </c>
    </row>
    <row r="109" spans="1:7" x14ac:dyDescent="0.2">
      <c r="A109" s="56" t="s">
        <v>218</v>
      </c>
      <c r="C109" s="192" t="s">
        <v>219</v>
      </c>
      <c r="D109" s="192"/>
      <c r="E109" s="56" t="s">
        <v>220</v>
      </c>
    </row>
    <row r="110" spans="1:7" x14ac:dyDescent="0.2">
      <c r="A110" s="56" t="s">
        <v>222</v>
      </c>
      <c r="C110" s="192" t="s">
        <v>223</v>
      </c>
      <c r="D110" s="192"/>
      <c r="E110" s="56" t="s">
        <v>224</v>
      </c>
    </row>
    <row r="111" spans="1:7" ht="13.5" thickBot="1" x14ac:dyDescent="0.25">
      <c r="A111" s="56" t="s">
        <v>226</v>
      </c>
      <c r="C111" s="192" t="s">
        <v>227</v>
      </c>
      <c r="D111" s="192"/>
      <c r="E111" s="56" t="s">
        <v>143</v>
      </c>
      <c r="F111" s="56" t="s">
        <v>221</v>
      </c>
      <c r="G111" s="180" t="s">
        <v>255</v>
      </c>
    </row>
    <row r="112" spans="1:7" ht="14.25" thickTop="1" thickBot="1" x14ac:dyDescent="0.25">
      <c r="A112" s="194"/>
      <c r="B112" s="196"/>
      <c r="C112" s="194"/>
      <c r="D112" s="196"/>
      <c r="E112" s="61"/>
      <c r="F112" s="61"/>
      <c r="G112" s="61"/>
    </row>
    <row r="113" spans="1:7" ht="13.5" thickTop="1" x14ac:dyDescent="0.2"/>
    <row r="114" spans="1:7" x14ac:dyDescent="0.2">
      <c r="A114" s="57" t="s">
        <v>256</v>
      </c>
    </row>
    <row r="115" spans="1:7" ht="13.5" thickBot="1" x14ac:dyDescent="0.25">
      <c r="G115" s="180" t="s">
        <v>257</v>
      </c>
    </row>
    <row r="116" spans="1:7" ht="13.5" thickBot="1" x14ac:dyDescent="0.25">
      <c r="D116" s="56" t="s">
        <v>258</v>
      </c>
      <c r="G116" s="65"/>
    </row>
    <row r="119" spans="1:7" ht="15.75" x14ac:dyDescent="0.25">
      <c r="A119" s="66" t="s">
        <v>259</v>
      </c>
    </row>
    <row r="120" spans="1:7" x14ac:dyDescent="0.2">
      <c r="A120" s="56" t="s">
        <v>260</v>
      </c>
    </row>
    <row r="121" spans="1:7" x14ac:dyDescent="0.2">
      <c r="A121" s="56" t="s">
        <v>261</v>
      </c>
    </row>
    <row r="122" spans="1:7" x14ac:dyDescent="0.2">
      <c r="A122" s="56" t="s">
        <v>262</v>
      </c>
    </row>
    <row r="124" spans="1:7" x14ac:dyDescent="0.2">
      <c r="A124" s="179" t="s">
        <v>263</v>
      </c>
      <c r="B124" s="179" t="s">
        <v>38</v>
      </c>
      <c r="G124" s="179" t="s">
        <v>264</v>
      </c>
    </row>
    <row r="125" spans="1:7" x14ac:dyDescent="0.2">
      <c r="A125" s="179" t="s">
        <v>265</v>
      </c>
      <c r="B125" s="179" t="s">
        <v>44</v>
      </c>
      <c r="G125" s="179" t="s">
        <v>266</v>
      </c>
    </row>
    <row r="126" spans="1:7" x14ac:dyDescent="0.2">
      <c r="A126" s="179" t="s">
        <v>242</v>
      </c>
      <c r="B126" s="179" t="s">
        <v>48</v>
      </c>
      <c r="G126" s="179" t="s">
        <v>75</v>
      </c>
    </row>
    <row r="127" spans="1:7" x14ac:dyDescent="0.2">
      <c r="A127" s="179" t="s">
        <v>267</v>
      </c>
      <c r="B127" s="179" t="s">
        <v>50</v>
      </c>
      <c r="G127" s="179" t="s">
        <v>268</v>
      </c>
    </row>
    <row r="128" spans="1:7" x14ac:dyDescent="0.2">
      <c r="A128" s="179" t="s">
        <v>269</v>
      </c>
      <c r="B128" s="180" t="s">
        <v>5</v>
      </c>
      <c r="G128" s="179" t="s">
        <v>270</v>
      </c>
    </row>
    <row r="129" spans="1:7" ht="13.5" thickBot="1" x14ac:dyDescent="0.25">
      <c r="A129" s="180" t="s">
        <v>271</v>
      </c>
      <c r="B129" s="180" t="s">
        <v>272</v>
      </c>
      <c r="G129" s="180" t="s">
        <v>273</v>
      </c>
    </row>
    <row r="130" spans="1:7" ht="14.25" thickTop="1" thickBot="1" x14ac:dyDescent="0.25">
      <c r="A130" s="61"/>
      <c r="B130" s="61"/>
      <c r="E130" s="57" t="s">
        <v>274</v>
      </c>
      <c r="G130" s="65"/>
    </row>
    <row r="131" spans="1:7" ht="13.5" thickTop="1" x14ac:dyDescent="0.2"/>
    <row r="133" spans="1:7" ht="15.75" x14ac:dyDescent="0.25">
      <c r="A133" s="66" t="s">
        <v>275</v>
      </c>
    </row>
    <row r="135" spans="1:7" x14ac:dyDescent="0.2">
      <c r="A135" s="56" t="s">
        <v>276</v>
      </c>
    </row>
    <row r="136" spans="1:7" x14ac:dyDescent="0.2">
      <c r="A136" s="56" t="s">
        <v>277</v>
      </c>
    </row>
    <row r="137" spans="1:7" ht="13.5" thickBot="1" x14ac:dyDescent="0.25">
      <c r="G137" s="180" t="s">
        <v>164</v>
      </c>
    </row>
    <row r="138" spans="1:7" ht="13.5" thickBot="1" x14ac:dyDescent="0.25">
      <c r="A138" s="180" t="s">
        <v>164</v>
      </c>
      <c r="B138" s="180" t="s">
        <v>231</v>
      </c>
      <c r="C138" s="180" t="s">
        <v>128</v>
      </c>
      <c r="D138" s="180" t="s">
        <v>257</v>
      </c>
      <c r="E138" s="180" t="s">
        <v>278</v>
      </c>
      <c r="F138" s="180" t="s">
        <v>273</v>
      </c>
      <c r="G138" s="84">
        <f>G73+G130</f>
        <v>598.79353218300002</v>
      </c>
    </row>
  </sheetData>
  <mergeCells count="34">
    <mergeCell ref="C110:D110"/>
    <mergeCell ref="C111:D111"/>
    <mergeCell ref="A112:B112"/>
    <mergeCell ref="C112:D112"/>
    <mergeCell ref="A27:E27"/>
    <mergeCell ref="B97:C97"/>
    <mergeCell ref="C109:D109"/>
    <mergeCell ref="B86:C86"/>
    <mergeCell ref="A28:E28"/>
    <mergeCell ref="A29:E29"/>
    <mergeCell ref="A31:E31"/>
    <mergeCell ref="C67:D67"/>
    <mergeCell ref="C68:D68"/>
    <mergeCell ref="C69:D69"/>
    <mergeCell ref="A70:B70"/>
    <mergeCell ref="C70:D70"/>
    <mergeCell ref="B93:C93"/>
    <mergeCell ref="B94:C94"/>
    <mergeCell ref="B95:C95"/>
    <mergeCell ref="B96:C96"/>
    <mergeCell ref="B87:C87"/>
    <mergeCell ref="B88:C88"/>
    <mergeCell ref="B89:C89"/>
    <mergeCell ref="B90:C90"/>
    <mergeCell ref="B91:C91"/>
    <mergeCell ref="B92:C92"/>
    <mergeCell ref="B84:C84"/>
    <mergeCell ref="B85:C85"/>
    <mergeCell ref="A30:E30"/>
    <mergeCell ref="A22:E22"/>
    <mergeCell ref="A23:E23"/>
    <mergeCell ref="A24:E24"/>
    <mergeCell ref="A25:E25"/>
    <mergeCell ref="A26:E26"/>
  </mergeCells>
  <printOptions gridLines="1"/>
  <pageMargins left="0.5" right="0.5" top="0.5" bottom="0.5" header="0.5" footer="0.5"/>
  <pageSetup orientation="portrait" r:id="rId1"/>
  <headerFooter alignWithMargins="0">
    <oddFooter>&amp;C
Page &amp;P of &amp;N</oddFooter>
  </headerFooter>
  <rowBreaks count="2" manualBreakCount="2">
    <brk id="54" max="6" man="1"/>
    <brk id="100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45"/>
  <sheetViews>
    <sheetView workbookViewId="0"/>
  </sheetViews>
  <sheetFormatPr defaultColWidth="9" defaultRowHeight="12.75" x14ac:dyDescent="0.2"/>
  <cols>
    <col min="1" max="1" width="20.25" style="56" customWidth="1"/>
    <col min="2" max="2" width="10.625" style="56" customWidth="1"/>
    <col min="3" max="3" width="15.375" style="56" bestFit="1" customWidth="1"/>
    <col min="4" max="4" width="25.375" style="56" bestFit="1" customWidth="1"/>
    <col min="5" max="16384" width="9" style="56"/>
  </cols>
  <sheetData>
    <row r="1" spans="1:6" ht="18" x14ac:dyDescent="0.25">
      <c r="A1" s="55" t="s">
        <v>279</v>
      </c>
      <c r="B1" s="55"/>
    </row>
    <row r="2" spans="1:6" ht="12.75" customHeight="1" x14ac:dyDescent="0.25">
      <c r="A2" s="55"/>
      <c r="B2" s="55"/>
      <c r="D2" s="57"/>
    </row>
    <row r="3" spans="1:6" x14ac:dyDescent="0.2">
      <c r="A3" s="56" t="s">
        <v>280</v>
      </c>
    </row>
    <row r="4" spans="1:6" x14ac:dyDescent="0.2">
      <c r="A4" s="56" t="s">
        <v>19</v>
      </c>
      <c r="B4" s="8" t="str">
        <f>INDEX(Utility_Name,index)</f>
        <v>GASPARILLA ISLAND WATER ASSOC.</v>
      </c>
    </row>
    <row r="5" spans="1:6" x14ac:dyDescent="0.2">
      <c r="A5" s="56" t="s">
        <v>21</v>
      </c>
      <c r="B5" s="8">
        <f>INDEX(WUP,index)</f>
        <v>718</v>
      </c>
    </row>
    <row r="6" spans="1:6" ht="13.5" thickBot="1" x14ac:dyDescent="0.25">
      <c r="A6" s="56" t="s">
        <v>174</v>
      </c>
      <c r="B6" s="8">
        <f>INDEX(Year,index)</f>
        <v>2024</v>
      </c>
    </row>
    <row r="7" spans="1:6" ht="14.25" thickTop="1" thickBot="1" x14ac:dyDescent="0.25">
      <c r="A7" s="70" t="s">
        <v>175</v>
      </c>
      <c r="B7" s="71"/>
      <c r="C7" s="72"/>
      <c r="D7" s="72"/>
      <c r="F7" s="61"/>
    </row>
    <row r="8" spans="1:6" ht="14.25" thickTop="1" thickBot="1" x14ac:dyDescent="0.25">
      <c r="A8" s="62" t="s">
        <v>26</v>
      </c>
      <c r="B8" s="73"/>
      <c r="C8" s="63"/>
      <c r="D8" s="63"/>
      <c r="F8" s="65"/>
    </row>
    <row r="10" spans="1:6" x14ac:dyDescent="0.2">
      <c r="A10" s="56" t="s">
        <v>281</v>
      </c>
    </row>
    <row r="11" spans="1:6" x14ac:dyDescent="0.2">
      <c r="A11" s="56" t="s">
        <v>282</v>
      </c>
    </row>
    <row r="13" spans="1:6" ht="13.5" thickBot="1" x14ac:dyDescent="0.25"/>
    <row r="14" spans="1:6" ht="15" x14ac:dyDescent="0.2">
      <c r="A14" s="197" t="s">
        <v>283</v>
      </c>
      <c r="B14" s="198"/>
      <c r="C14" s="74" t="s">
        <v>284</v>
      </c>
      <c r="D14" s="75" t="s">
        <v>285</v>
      </c>
    </row>
    <row r="15" spans="1:6" ht="15.75" thickBot="1" x14ac:dyDescent="0.25">
      <c r="A15" s="76" t="s">
        <v>286</v>
      </c>
      <c r="B15" s="77" t="s">
        <v>287</v>
      </c>
      <c r="C15" s="78" t="s">
        <v>288</v>
      </c>
      <c r="D15" s="79" t="s">
        <v>289</v>
      </c>
    </row>
    <row r="16" spans="1:6" ht="14.25" thickTop="1" thickBot="1" x14ac:dyDescent="0.25">
      <c r="A16" s="61"/>
      <c r="B16" s="61"/>
      <c r="C16" s="61"/>
      <c r="D16" s="61"/>
    </row>
    <row r="17" spans="1:4" ht="14.25" thickTop="1" thickBot="1" x14ac:dyDescent="0.25">
      <c r="A17" s="61"/>
      <c r="B17" s="61"/>
      <c r="C17" s="61"/>
      <c r="D17" s="61"/>
    </row>
    <row r="18" spans="1:4" ht="14.25" thickTop="1" thickBot="1" x14ac:dyDescent="0.25">
      <c r="A18" s="61"/>
      <c r="B18" s="61"/>
      <c r="C18" s="61"/>
      <c r="D18" s="61"/>
    </row>
    <row r="19" spans="1:4" ht="14.25" thickTop="1" thickBot="1" x14ac:dyDescent="0.25">
      <c r="A19" s="61"/>
      <c r="B19" s="61"/>
      <c r="C19" s="61"/>
      <c r="D19" s="61"/>
    </row>
    <row r="20" spans="1:4" ht="14.25" thickTop="1" thickBot="1" x14ac:dyDescent="0.25">
      <c r="A20" s="61"/>
      <c r="B20" s="61"/>
      <c r="C20" s="61"/>
      <c r="D20" s="61"/>
    </row>
    <row r="21" spans="1:4" ht="14.25" thickTop="1" thickBot="1" x14ac:dyDescent="0.25">
      <c r="A21" s="61"/>
      <c r="B21" s="61"/>
      <c r="C21" s="61"/>
      <c r="D21" s="61"/>
    </row>
    <row r="22" spans="1:4" ht="14.25" thickTop="1" thickBot="1" x14ac:dyDescent="0.25">
      <c r="A22" s="61"/>
      <c r="B22" s="61"/>
      <c r="C22" s="61"/>
      <c r="D22" s="61"/>
    </row>
    <row r="23" spans="1:4" ht="14.25" thickTop="1" thickBot="1" x14ac:dyDescent="0.25">
      <c r="A23" s="61"/>
      <c r="B23" s="61"/>
      <c r="C23" s="61"/>
      <c r="D23" s="61"/>
    </row>
    <row r="24" spans="1:4" ht="14.25" thickTop="1" thickBot="1" x14ac:dyDescent="0.25">
      <c r="A24" s="61"/>
      <c r="B24" s="61"/>
      <c r="C24" s="61"/>
      <c r="D24" s="61"/>
    </row>
    <row r="25" spans="1:4" ht="14.25" thickTop="1" thickBot="1" x14ac:dyDescent="0.25">
      <c r="A25" s="61"/>
      <c r="B25" s="61"/>
      <c r="C25" s="61"/>
      <c r="D25" s="61"/>
    </row>
    <row r="26" spans="1:4" ht="14.25" thickTop="1" thickBot="1" x14ac:dyDescent="0.25">
      <c r="A26" s="61"/>
      <c r="B26" s="61"/>
      <c r="C26" s="61"/>
      <c r="D26" s="61"/>
    </row>
    <row r="27" spans="1:4" ht="14.25" thickTop="1" thickBot="1" x14ac:dyDescent="0.25">
      <c r="A27" s="61"/>
      <c r="B27" s="61"/>
      <c r="C27" s="61"/>
      <c r="D27" s="61"/>
    </row>
    <row r="28" spans="1:4" ht="14.25" thickTop="1" thickBot="1" x14ac:dyDescent="0.25">
      <c r="A28" s="61"/>
      <c r="B28" s="61"/>
      <c r="C28" s="61"/>
      <c r="D28" s="61"/>
    </row>
    <row r="29" spans="1:4" ht="14.25" thickTop="1" thickBot="1" x14ac:dyDescent="0.25">
      <c r="A29" s="61"/>
      <c r="B29" s="61"/>
      <c r="C29" s="61"/>
      <c r="D29" s="61"/>
    </row>
    <row r="30" spans="1:4" ht="14.25" thickTop="1" thickBot="1" x14ac:dyDescent="0.25">
      <c r="A30" s="61"/>
      <c r="B30" s="61"/>
      <c r="C30" s="61"/>
      <c r="D30" s="61"/>
    </row>
    <row r="31" spans="1:4" ht="14.25" thickTop="1" thickBot="1" x14ac:dyDescent="0.25">
      <c r="C31" s="180" t="s">
        <v>187</v>
      </c>
      <c r="D31" s="180" t="s">
        <v>54</v>
      </c>
    </row>
    <row r="32" spans="1:4" ht="15.75" thickBot="1" x14ac:dyDescent="0.25">
      <c r="A32" s="80" t="s">
        <v>290</v>
      </c>
      <c r="B32" s="80"/>
      <c r="C32" s="65"/>
      <c r="D32" s="65"/>
    </row>
    <row r="34" spans="1:4" ht="15" x14ac:dyDescent="0.2">
      <c r="A34" s="81" t="s">
        <v>291</v>
      </c>
      <c r="B34" s="81"/>
    </row>
    <row r="35" spans="1:4" ht="16.5" thickBot="1" x14ac:dyDescent="0.3">
      <c r="A35" s="81" t="s">
        <v>292</v>
      </c>
      <c r="B35" s="81"/>
      <c r="D35" s="82" t="s">
        <v>293</v>
      </c>
    </row>
    <row r="36" spans="1:4" ht="15.75" thickBot="1" x14ac:dyDescent="0.25">
      <c r="A36" s="81" t="s">
        <v>294</v>
      </c>
      <c r="B36" s="81"/>
      <c r="D36" s="87">
        <f>INDEX(C_A_B,index)</f>
        <v>1.7223599999999999E-2</v>
      </c>
    </row>
    <row r="38" spans="1:4" ht="16.5" thickBot="1" x14ac:dyDescent="0.3">
      <c r="A38" s="81" t="s">
        <v>295</v>
      </c>
      <c r="B38" s="81"/>
      <c r="D38" s="82" t="s">
        <v>296</v>
      </c>
    </row>
    <row r="39" spans="1:4" ht="15.75" thickBot="1" x14ac:dyDescent="0.25">
      <c r="A39" s="81" t="s">
        <v>297</v>
      </c>
      <c r="B39" s="81"/>
      <c r="D39" s="86">
        <f>D36*'Indexed B-Service Area Summary'!B24</f>
        <v>0</v>
      </c>
    </row>
    <row r="40" spans="1:4" x14ac:dyDescent="0.2">
      <c r="A40" s="67" t="s">
        <v>298</v>
      </c>
      <c r="B40" s="67"/>
    </row>
    <row r="41" spans="1:4" x14ac:dyDescent="0.2">
      <c r="A41" s="67" t="s">
        <v>299</v>
      </c>
      <c r="B41" s="67"/>
    </row>
    <row r="43" spans="1:4" ht="15" x14ac:dyDescent="0.2">
      <c r="A43" s="81" t="s">
        <v>300</v>
      </c>
      <c r="B43" s="81"/>
    </row>
    <row r="44" spans="1:4" ht="16.5" thickBot="1" x14ac:dyDescent="0.3">
      <c r="A44" s="81" t="s">
        <v>301</v>
      </c>
      <c r="B44" s="81"/>
      <c r="D44" s="83" t="s">
        <v>302</v>
      </c>
    </row>
    <row r="45" spans="1:4" ht="15.75" thickBot="1" x14ac:dyDescent="0.25">
      <c r="A45" s="81" t="s">
        <v>302</v>
      </c>
      <c r="B45" s="81"/>
      <c r="D45" s="86">
        <f>D39*(8/24)*(5/7)</f>
        <v>0</v>
      </c>
    </row>
  </sheetData>
  <mergeCells count="1">
    <mergeCell ref="A14:B14"/>
  </mergeCells>
  <printOptions gridLines="1"/>
  <pageMargins left="0.75" right="0.75" top="1" bottom="1" header="0.5" footer="0.5"/>
  <pageSetup scale="91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C228"/>
  <sheetViews>
    <sheetView workbookViewId="0"/>
  </sheetViews>
  <sheetFormatPr defaultColWidth="9" defaultRowHeight="14.25" x14ac:dyDescent="0.2"/>
  <cols>
    <col min="1" max="1" width="15.625" style="88" customWidth="1"/>
    <col min="2" max="2" width="12.125" style="88" customWidth="1"/>
    <col min="3" max="3" width="47.125" style="88" customWidth="1"/>
    <col min="4" max="4" width="7.5" style="88" bestFit="1" customWidth="1"/>
    <col min="5" max="5" width="10.5" style="88" bestFit="1" customWidth="1"/>
    <col min="6" max="6" width="15" style="88" bestFit="1" customWidth="1"/>
    <col min="7" max="7" width="10.25" style="88" bestFit="1" customWidth="1"/>
    <col min="8" max="8" width="13.75" style="88" bestFit="1" customWidth="1"/>
    <col min="9" max="9" width="17.25" style="88" bestFit="1" customWidth="1"/>
    <col min="10" max="10" width="12.25" style="88" bestFit="1" customWidth="1"/>
    <col min="11" max="11" width="12.875" style="88" bestFit="1" customWidth="1"/>
    <col min="12" max="12" width="11.375" style="88" bestFit="1" customWidth="1"/>
    <col min="13" max="13" width="10.5" style="88" bestFit="1" customWidth="1"/>
    <col min="14" max="14" width="15.125" style="88" bestFit="1" customWidth="1"/>
    <col min="15" max="15" width="13.125" style="88" bestFit="1" customWidth="1"/>
    <col min="16" max="16" width="11.5" style="88" customWidth="1"/>
    <col min="17" max="17" width="10.375" style="88" customWidth="1"/>
    <col min="18" max="18" width="12.625" style="88" bestFit="1" customWidth="1"/>
    <col min="19" max="19" width="15.875" style="88" bestFit="1" customWidth="1"/>
    <col min="20" max="20" width="10.125" style="88" bestFit="1" customWidth="1"/>
    <col min="21" max="21" width="11.5" style="88" bestFit="1" customWidth="1"/>
    <col min="22" max="29" width="16.625" style="88" customWidth="1"/>
  </cols>
  <sheetData>
    <row r="1" spans="1:29" ht="15" customHeight="1" x14ac:dyDescent="0.25">
      <c r="A1" s="54" t="s">
        <v>303</v>
      </c>
      <c r="K1" s="129"/>
    </row>
    <row r="2" spans="1:29" ht="15" customHeight="1" x14ac:dyDescent="0.25">
      <c r="A2" s="54" t="s">
        <v>304</v>
      </c>
      <c r="K2" s="129"/>
      <c r="S2" s="131"/>
    </row>
    <row r="3" spans="1:29" s="3" customFormat="1" ht="15" customHeight="1" x14ac:dyDescent="0.25">
      <c r="A3" s="2"/>
      <c r="B3" s="2"/>
      <c r="L3" s="167"/>
    </row>
    <row r="4" spans="1:29" s="3" customFormat="1" ht="99" customHeight="1" thickBot="1" x14ac:dyDescent="0.3">
      <c r="A4" s="4"/>
      <c r="B4" s="4"/>
      <c r="C4" s="96"/>
      <c r="D4" s="124" t="s">
        <v>305</v>
      </c>
      <c r="E4" s="124" t="s">
        <v>306</v>
      </c>
      <c r="F4" s="124" t="s">
        <v>307</v>
      </c>
      <c r="G4" s="124" t="s">
        <v>308</v>
      </c>
      <c r="H4" s="124" t="s">
        <v>309</v>
      </c>
      <c r="I4" s="124" t="s">
        <v>310</v>
      </c>
      <c r="J4" s="124" t="s">
        <v>311</v>
      </c>
      <c r="K4" s="124" t="s">
        <v>312</v>
      </c>
      <c r="L4" s="124" t="s">
        <v>313</v>
      </c>
      <c r="M4" s="124" t="s">
        <v>314</v>
      </c>
      <c r="N4" s="124" t="s">
        <v>315</v>
      </c>
      <c r="O4" s="97" t="s">
        <v>316</v>
      </c>
      <c r="P4" s="124" t="s">
        <v>317</v>
      </c>
      <c r="Q4" s="97" t="s">
        <v>318</v>
      </c>
      <c r="R4" s="124" t="s">
        <v>319</v>
      </c>
      <c r="S4" s="124" t="s">
        <v>320</v>
      </c>
    </row>
    <row r="5" spans="1:29" s="3" customFormat="1" ht="15" x14ac:dyDescent="0.25">
      <c r="A5" s="2" t="s">
        <v>321</v>
      </c>
      <c r="B5" s="2"/>
      <c r="C5" s="130"/>
      <c r="D5" s="130"/>
      <c r="E5" s="5"/>
      <c r="F5" s="5" t="s">
        <v>54</v>
      </c>
      <c r="G5" s="5" t="s">
        <v>54</v>
      </c>
      <c r="H5" s="5" t="s">
        <v>54</v>
      </c>
      <c r="I5" s="5" t="s">
        <v>54</v>
      </c>
      <c r="J5" s="5" t="s">
        <v>54</v>
      </c>
      <c r="K5" s="5" t="s">
        <v>54</v>
      </c>
      <c r="L5" s="5" t="s">
        <v>54</v>
      </c>
      <c r="M5" s="5" t="s">
        <v>54</v>
      </c>
      <c r="N5" s="5" t="s">
        <v>54</v>
      </c>
      <c r="O5" s="5" t="s">
        <v>54</v>
      </c>
      <c r="P5" s="5" t="s">
        <v>54</v>
      </c>
      <c r="Q5" s="6" t="s">
        <v>76</v>
      </c>
      <c r="R5" s="5" t="s">
        <v>76</v>
      </c>
      <c r="S5" s="5" t="s">
        <v>322</v>
      </c>
      <c r="V5" s="134">
        <v>2020</v>
      </c>
      <c r="W5" s="135">
        <v>2021</v>
      </c>
      <c r="X5" s="135">
        <v>2022</v>
      </c>
      <c r="Y5" s="136">
        <v>2023</v>
      </c>
      <c r="Z5" s="134">
        <v>2020</v>
      </c>
      <c r="AA5" s="135">
        <v>2021</v>
      </c>
      <c r="AB5" s="135">
        <v>2022</v>
      </c>
      <c r="AC5" s="136">
        <v>2023</v>
      </c>
    </row>
    <row r="6" spans="1:29" s="174" customFormat="1" ht="15.75" thickBot="1" x14ac:dyDescent="0.3">
      <c r="A6" s="168" t="s">
        <v>323</v>
      </c>
      <c r="B6" s="168" t="s">
        <v>324</v>
      </c>
      <c r="C6" s="168" t="s">
        <v>325</v>
      </c>
      <c r="D6" s="168" t="s">
        <v>326</v>
      </c>
      <c r="E6" s="168" t="s">
        <v>306</v>
      </c>
      <c r="F6" s="168" t="s">
        <v>103</v>
      </c>
      <c r="G6" s="168" t="s">
        <v>104</v>
      </c>
      <c r="H6" s="168" t="s">
        <v>105</v>
      </c>
      <c r="I6" s="168" t="s">
        <v>106</v>
      </c>
      <c r="J6" s="168" t="s">
        <v>111</v>
      </c>
      <c r="K6" s="168" t="s">
        <v>115</v>
      </c>
      <c r="L6" s="168" t="s">
        <v>120</v>
      </c>
      <c r="M6" s="168" t="s">
        <v>124</v>
      </c>
      <c r="N6" s="168" t="s">
        <v>127</v>
      </c>
      <c r="O6" s="168" t="s">
        <v>146</v>
      </c>
      <c r="P6" s="168" t="s">
        <v>150</v>
      </c>
      <c r="Q6" s="168" t="s">
        <v>56</v>
      </c>
      <c r="R6" s="168" t="s">
        <v>229</v>
      </c>
      <c r="S6" s="168" t="s">
        <v>327</v>
      </c>
      <c r="T6" s="169" t="s">
        <v>328</v>
      </c>
      <c r="U6" s="170" t="s">
        <v>164</v>
      </c>
      <c r="V6" s="171" t="s">
        <v>329</v>
      </c>
      <c r="W6" s="172" t="s">
        <v>330</v>
      </c>
      <c r="X6" s="172" t="s">
        <v>331</v>
      </c>
      <c r="Y6" s="173" t="s">
        <v>332</v>
      </c>
      <c r="Z6" s="171" t="s">
        <v>333</v>
      </c>
      <c r="AA6" s="172" t="s">
        <v>334</v>
      </c>
      <c r="AB6" s="172" t="s">
        <v>335</v>
      </c>
      <c r="AC6" s="173" t="s">
        <v>336</v>
      </c>
    </row>
    <row r="7" spans="1:29" x14ac:dyDescent="0.2">
      <c r="A7" s="1" t="s">
        <v>337</v>
      </c>
      <c r="B7" s="1" t="s">
        <v>338</v>
      </c>
      <c r="C7" s="1" t="s">
        <v>339</v>
      </c>
      <c r="D7" s="1">
        <v>718</v>
      </c>
      <c r="E7" s="1">
        <v>2024</v>
      </c>
      <c r="F7" s="175">
        <f>VLOOKUP($D7,'2024Data to Complete Appendix C'!$C$8:$Q$313,2,FALSE)</f>
        <v>1482</v>
      </c>
      <c r="G7" s="175">
        <f>VLOOKUP($D7,'2024Data to Complete Appendix C'!$C$8:$Q$313,3,FALSE)</f>
        <v>768</v>
      </c>
      <c r="H7" s="175">
        <f>VLOOKUP($D7,'2024Data to Complete Appendix C'!$C$8:$Q$313,4,FALSE)</f>
        <v>0</v>
      </c>
      <c r="I7" s="175">
        <f>VLOOKUP($D7,'2024Data to Complete Appendix C'!$C$8:$Q$313,5,FALSE)</f>
        <v>2071</v>
      </c>
      <c r="J7" s="176">
        <f>VLOOKUP($D7,'2024Data to Complete Appendix C'!$C$8:$Q$313,6,FALSE)</f>
        <v>2.3199999999999998</v>
      </c>
      <c r="K7" s="176">
        <f>VLOOKUP($D7,'2024Data to Complete Appendix C'!$C$8:$Q$313,7,FALSE)</f>
        <v>2.4300000000000002</v>
      </c>
      <c r="L7" s="176">
        <f>VLOOKUP($D7,'2024Data to Complete Appendix C'!$C$8:$Q$313,8,FALSE)</f>
        <v>1.5593999999999999</v>
      </c>
      <c r="M7" s="175">
        <f>VLOOKUP($D7,'2024Data to Complete Appendix C'!$C$8:$Q$313,9,FALSE)</f>
        <v>341</v>
      </c>
      <c r="N7" s="176">
        <f>VLOOKUP($D7,'2024Data to Complete Appendix C'!$C$8:$Q$313,10,FALSE)</f>
        <v>0.78</v>
      </c>
      <c r="O7" s="177">
        <f>VLOOKUP($D7,'2024Data to Complete Appendix C'!$C$8:$Q$313,11,FALSE)</f>
        <v>0.442</v>
      </c>
      <c r="P7" s="177">
        <f>VLOOKUP($D7,'2024Data to Complete Appendix C'!$C$8:$Q$313,12,FALSE)</f>
        <v>0.70704999999999996</v>
      </c>
      <c r="Q7" s="177">
        <f>VLOOKUP($D7,'2024Data to Complete Appendix C'!$C$8:$Q$313,13,FALSE)</f>
        <v>0.67204661300000001</v>
      </c>
      <c r="R7" s="176">
        <f>VLOOKUP($D7,'2024Data to Complete Appendix C'!$C$8:$Q$313,14,FALSE)</f>
        <v>2.7</v>
      </c>
      <c r="S7" s="177">
        <f>VLOOKUP($D7,'2024Data to Complete Appendix C'!$C$8:$Q$313,15,FALSE)</f>
        <v>1.7223599999999999E-2</v>
      </c>
      <c r="T7" s="175">
        <f>IFERROR(VLOOKUP($D7,'2024_Lodging_by_WUP'!$A:$D,4,FALSE),0)</f>
        <v>330</v>
      </c>
      <c r="U7" s="175">
        <f>IF(T7&gt;0,T7*Q7*R7,0)</f>
        <v>598.79353218300002</v>
      </c>
      <c r="V7" s="178">
        <f>IFERROR(VLOOKUP($D7,Total_DU!$B$5:$AB$171,24,0),0)</f>
        <v>2003</v>
      </c>
      <c r="W7" s="178">
        <f>IFERROR(VLOOKUP($D7,Total_DU!$B$5:$AB$174,25,0),0)</f>
        <v>2013</v>
      </c>
      <c r="X7" s="178">
        <f>IFERROR(VLOOKUP($D7,Total_DU!$B$5:$AB$174,26,0),0)</f>
        <v>2012</v>
      </c>
      <c r="Y7" s="178">
        <f>IFERROR(VLOOKUP($D7,Total_DU!$B$5:$AB$174,27,0),0)</f>
        <v>2022</v>
      </c>
      <c r="Z7" s="178">
        <f>IFERROR(VLOOKUP($D7,Population!$B$5:$AA$175,23,FALSE),0)</f>
        <v>6150</v>
      </c>
      <c r="AA7" s="178">
        <f>IFERROR(VLOOKUP($D7,Population!$B$5:$AA$175,24,FALSE),0)</f>
        <v>6254</v>
      </c>
      <c r="AB7" s="178">
        <f>IFERROR(VLOOKUP($D7,Population!$B$5:$AA$175,25,FALSE),0)</f>
        <v>6354</v>
      </c>
      <c r="AC7" s="178">
        <f>IFERROR(VLOOKUP($D7,Population!$B$5:$AA$175,26,FALSE),0)</f>
        <v>6605</v>
      </c>
    </row>
    <row r="8" spans="1:29" x14ac:dyDescent="0.2">
      <c r="A8" s="1" t="s">
        <v>337</v>
      </c>
      <c r="B8" s="1" t="s">
        <v>340</v>
      </c>
      <c r="C8" s="1" t="s">
        <v>341</v>
      </c>
      <c r="D8" s="1">
        <v>871</v>
      </c>
      <c r="E8" s="1">
        <v>2024</v>
      </c>
      <c r="F8" s="175">
        <f>VLOOKUP($D8,'2024Data to Complete Appendix C'!$C$8:$Q$313,2,FALSE)</f>
        <v>31174</v>
      </c>
      <c r="G8" s="175">
        <f>VLOOKUP($D8,'2024Data to Complete Appendix C'!$C$8:$Q$313,3,FALSE)</f>
        <v>16063</v>
      </c>
      <c r="H8" s="175">
        <f>VLOOKUP($D8,'2024Data to Complete Appendix C'!$C$8:$Q$313,4,FALSE)</f>
        <v>903</v>
      </c>
      <c r="I8" s="175">
        <f>VLOOKUP($D8,'2024Data to Complete Appendix C'!$C$8:$Q$313,5,FALSE)</f>
        <v>20754</v>
      </c>
      <c r="J8" s="176">
        <f>VLOOKUP($D8,'2024Data to Complete Appendix C'!$C$8:$Q$313,6,FALSE)</f>
        <v>1.9407300000000001</v>
      </c>
      <c r="K8" s="176">
        <f>VLOOKUP($D8,'2024Data to Complete Appendix C'!$C$8:$Q$313,7,FALSE)</f>
        <v>1.95</v>
      </c>
      <c r="L8" s="176">
        <f>VLOOKUP($D8,'2024Data to Complete Appendix C'!$C$8:$Q$313,8,FALSE)</f>
        <v>1.18197</v>
      </c>
      <c r="M8" s="175">
        <f>VLOOKUP($D8,'2024Data to Complete Appendix C'!$C$8:$Q$313,9,FALSE)</f>
        <v>2909.02</v>
      </c>
      <c r="N8" s="176">
        <f>VLOOKUP($D8,'2024Data to Complete Appendix C'!$C$8:$Q$313,10,FALSE)</f>
        <v>0.153332</v>
      </c>
      <c r="O8" s="177">
        <f>VLOOKUP($D8,'2024Data to Complete Appendix C'!$C$8:$Q$313,11,FALSE)</f>
        <v>0.442</v>
      </c>
      <c r="P8" s="177">
        <f>VLOOKUP($D8,'2024Data to Complete Appendix C'!$C$8:$Q$313,12,FALSE)</f>
        <v>0.70704999999999996</v>
      </c>
      <c r="Q8" s="177">
        <f>VLOOKUP($D8,'2024Data to Complete Appendix C'!$C$8:$Q$313,13,FALSE)</f>
        <v>0.67204661300000001</v>
      </c>
      <c r="R8" s="176">
        <f>VLOOKUP($D8,'2024Data to Complete Appendix C'!$C$8:$Q$313,14,FALSE)</f>
        <v>2.7</v>
      </c>
      <c r="S8" s="177">
        <f>VLOOKUP($D8,'2024Data to Complete Appendix C'!$C$8:$Q$313,15,FALSE)</f>
        <v>0.168099</v>
      </c>
      <c r="T8" s="175">
        <f>IFERROR(VLOOKUP($D8,'2024_Lodging_by_WUP'!$A:$D,4,FALSE),0)</f>
        <v>984</v>
      </c>
      <c r="U8" s="175">
        <f t="shared" ref="U8:U62" si="0">IF(T8&gt;0,T8*Q8*R8,0)</f>
        <v>1785.4934414184002</v>
      </c>
      <c r="V8" s="178">
        <f>IFERROR(VLOOKUP($D8,Total_DU!$B$5:$AB$171,24,0),0)</f>
        <v>19649</v>
      </c>
      <c r="W8" s="178">
        <f>IFERROR(VLOOKUP($D8,Total_DU!$B$5:$AB$174,25,0),0)</f>
        <v>19946</v>
      </c>
      <c r="X8" s="178">
        <f>IFERROR(VLOOKUP($D8,Total_DU!$B$5:$AB$174,26,0),0)</f>
        <v>20404</v>
      </c>
      <c r="Y8" s="178">
        <f>IFERROR(VLOOKUP($D8,Total_DU!$B$5:$AB$174,27,0),0)</f>
        <v>20575</v>
      </c>
      <c r="Z8" s="178">
        <f>IFERROR(VLOOKUP($D8,Population!$B$5:$AA$175,23,FALSE),0)</f>
        <v>39874.635999718826</v>
      </c>
      <c r="AA8" s="178">
        <f>IFERROR(VLOOKUP($D8,Population!$B$5:$AA$175,24,FALSE),0)</f>
        <v>40211</v>
      </c>
      <c r="AB8" s="178">
        <f>IFERROR(VLOOKUP($D8,Population!$B$5:$AA$175,25,FALSE),0)</f>
        <v>41388</v>
      </c>
      <c r="AC8" s="178">
        <f>IFERROR(VLOOKUP($D8,Population!$B$5:$AA$175,26,FALSE),0)</f>
        <v>41581.994965262493</v>
      </c>
    </row>
    <row r="9" spans="1:29" x14ac:dyDescent="0.2">
      <c r="A9" s="1" t="s">
        <v>337</v>
      </c>
      <c r="B9" s="1" t="s">
        <v>342</v>
      </c>
      <c r="C9" s="1" t="s">
        <v>343</v>
      </c>
      <c r="D9" s="1">
        <v>1512</v>
      </c>
      <c r="E9" s="1">
        <v>2024</v>
      </c>
      <c r="F9" s="175">
        <f>VLOOKUP($D9,'2024Data to Complete Appendix C'!$C$8:$Q$313,2,FALSE)</f>
        <v>7585</v>
      </c>
      <c r="G9" s="175">
        <f>VLOOKUP($D9,'2024Data to Complete Appendix C'!$C$8:$Q$313,3,FALSE)</f>
        <v>3706</v>
      </c>
      <c r="H9" s="175">
        <f>VLOOKUP($D9,'2024Data to Complete Appendix C'!$C$8:$Q$313,4,FALSE)</f>
        <v>373</v>
      </c>
      <c r="I9" s="175">
        <f>VLOOKUP($D9,'2024Data to Complete Appendix C'!$C$8:$Q$313,5,FALSE)</f>
        <v>4729</v>
      </c>
      <c r="J9" s="176">
        <f>VLOOKUP($D9,'2024Data to Complete Appendix C'!$C$8:$Q$313,6,FALSE)</f>
        <v>2.0466799999999998</v>
      </c>
      <c r="K9" s="176">
        <f>VLOOKUP($D9,'2024Data to Complete Appendix C'!$C$8:$Q$313,7,FALSE)</f>
        <v>1.95</v>
      </c>
      <c r="L9" s="176">
        <f>VLOOKUP($D9,'2024Data to Complete Appendix C'!$C$8:$Q$313,8,FALSE)</f>
        <v>1.20594</v>
      </c>
      <c r="M9" s="175">
        <f>VLOOKUP($D9,'2024Data to Complete Appendix C'!$C$8:$Q$313,9,FALSE)</f>
        <v>801.06</v>
      </c>
      <c r="N9" s="176">
        <f>VLOOKUP($D9,'2024Data to Complete Appendix C'!$C$8:$Q$313,10,FALSE)</f>
        <v>0.177734</v>
      </c>
      <c r="O9" s="177">
        <f>VLOOKUP($D9,'2024Data to Complete Appendix C'!$C$8:$Q$313,11,FALSE)</f>
        <v>0.442</v>
      </c>
      <c r="P9" s="177">
        <f>VLOOKUP($D9,'2024Data to Complete Appendix C'!$C$8:$Q$313,12,FALSE)</f>
        <v>0.70704999999999996</v>
      </c>
      <c r="Q9" s="177">
        <f>VLOOKUP($D9,'2024Data to Complete Appendix C'!$C$8:$Q$313,13,FALSE)</f>
        <v>0.67204661300000001</v>
      </c>
      <c r="R9" s="176">
        <f>VLOOKUP($D9,'2024Data to Complete Appendix C'!$C$8:$Q$313,14,FALSE)</f>
        <v>2.7</v>
      </c>
      <c r="S9" s="177">
        <f>VLOOKUP($D9,'2024Data to Complete Appendix C'!$C$8:$Q$313,15,FALSE)</f>
        <v>0.16928000000000001</v>
      </c>
      <c r="T9" s="175">
        <f>IFERROR(VLOOKUP($D9,'2024_Lodging_by_WUP'!$A:$D,4,FALSE),0)</f>
        <v>34</v>
      </c>
      <c r="U9" s="175">
        <f t="shared" si="0"/>
        <v>61.693879073399998</v>
      </c>
      <c r="V9" s="178">
        <f>IFERROR(VLOOKUP($D9,Total_DU!$B$5:$AB$171,24,0),0)</f>
        <v>2219</v>
      </c>
      <c r="W9" s="178">
        <f>IFERROR(VLOOKUP($D9,Total_DU!$B$5:$AB$174,25,0),0)</f>
        <v>2231</v>
      </c>
      <c r="X9" s="178">
        <f>IFERROR(VLOOKUP($D9,Total_DU!$B$5:$AB$174,26,0),0)</f>
        <v>2277</v>
      </c>
      <c r="Y9" s="178">
        <f>IFERROR(VLOOKUP($D9,Total_DU!$B$5:$AB$174,27,0),0)</f>
        <v>2285</v>
      </c>
      <c r="Z9" s="178">
        <f>IFERROR(VLOOKUP($D9,Population!$B$5:$AA$175,23,FALSE),0)</f>
        <v>4563.7174754602956</v>
      </c>
      <c r="AA9" s="178">
        <f>IFERROR(VLOOKUP($D9,Population!$B$5:$AA$175,24,FALSE),0)</f>
        <v>4576</v>
      </c>
      <c r="AB9" s="178">
        <f>IFERROR(VLOOKUP($D9,Population!$B$5:$AA$175,25,FALSE),0)</f>
        <v>4688</v>
      </c>
      <c r="AC9" s="178">
        <f>IFERROR(VLOOKUP($D9,Population!$B$5:$AA$175,26,FALSE),0)</f>
        <v>4722.0632498733148</v>
      </c>
    </row>
    <row r="10" spans="1:29" x14ac:dyDescent="0.2">
      <c r="A10" s="1" t="s">
        <v>337</v>
      </c>
      <c r="B10" s="1" t="s">
        <v>344</v>
      </c>
      <c r="C10" s="1" t="s">
        <v>345</v>
      </c>
      <c r="D10" s="1">
        <v>3522</v>
      </c>
      <c r="E10" s="1">
        <v>2024</v>
      </c>
      <c r="F10" s="175">
        <f>VLOOKUP($D10,'2024Data to Complete Appendix C'!$C$8:$Q$313,2,FALSE)</f>
        <v>12155</v>
      </c>
      <c r="G10" s="175">
        <f>VLOOKUP($D10,'2024Data to Complete Appendix C'!$C$8:$Q$313,3,FALSE)</f>
        <v>5712</v>
      </c>
      <c r="H10" s="175">
        <f>VLOOKUP($D10,'2024Data to Complete Appendix C'!$C$8:$Q$313,4,FALSE)</f>
        <v>0</v>
      </c>
      <c r="I10" s="175">
        <f>VLOOKUP($D10,'2024Data to Complete Appendix C'!$C$8:$Q$313,5,FALSE)</f>
        <v>7707</v>
      </c>
      <c r="J10" s="176">
        <f>VLOOKUP($D10,'2024Data to Complete Appendix C'!$C$8:$Q$313,6,FALSE)</f>
        <v>2.12798</v>
      </c>
      <c r="K10" s="176">
        <f>VLOOKUP($D10,'2024Data to Complete Appendix C'!$C$8:$Q$313,7,FALSE)</f>
        <v>1.95</v>
      </c>
      <c r="L10" s="176">
        <f>VLOOKUP($D10,'2024Data to Complete Appendix C'!$C$8:$Q$313,8,FALSE)</f>
        <v>1.14171</v>
      </c>
      <c r="M10" s="175">
        <f>VLOOKUP($D10,'2024Data to Complete Appendix C'!$C$8:$Q$313,9,FALSE)</f>
        <v>883.30399999999997</v>
      </c>
      <c r="N10" s="176">
        <f>VLOOKUP($D10,'2024Data to Complete Appendix C'!$C$8:$Q$313,10,FALSE)</f>
        <v>0.13392899999999999</v>
      </c>
      <c r="O10" s="177">
        <f>VLOOKUP($D10,'2024Data to Complete Appendix C'!$C$8:$Q$313,11,FALSE)</f>
        <v>0.442</v>
      </c>
      <c r="P10" s="177">
        <f>VLOOKUP($D10,'2024Data to Complete Appendix C'!$C$8:$Q$313,12,FALSE)</f>
        <v>0.70704999999999996</v>
      </c>
      <c r="Q10" s="177">
        <f>VLOOKUP($D10,'2024Data to Complete Appendix C'!$C$8:$Q$313,13,FALSE)</f>
        <v>0.67204661300000001</v>
      </c>
      <c r="R10" s="176">
        <f>VLOOKUP($D10,'2024Data to Complete Appendix C'!$C$8:$Q$313,14,FALSE)</f>
        <v>2.7</v>
      </c>
      <c r="S10" s="177">
        <f>VLOOKUP($D10,'2024Data to Complete Appendix C'!$C$8:$Q$313,15,FALSE)</f>
        <v>-3.4660999999999997E-2</v>
      </c>
      <c r="T10" s="175">
        <f>IFERROR(VLOOKUP($D10,'2024_Lodging_by_WUP'!$A:$D,4,FALSE),0)</f>
        <v>56</v>
      </c>
      <c r="U10" s="175">
        <f t="shared" si="0"/>
        <v>101.61344788560001</v>
      </c>
      <c r="V10" s="178">
        <f>IFERROR(VLOOKUP($D10,Total_DU!$B$5:$AB$171,24,0),0)</f>
        <v>3349</v>
      </c>
      <c r="W10" s="178">
        <f>IFERROR(VLOOKUP($D10,Total_DU!$B$5:$AB$174,25,0),0)</f>
        <v>3573</v>
      </c>
      <c r="X10" s="178">
        <f>IFERROR(VLOOKUP($D10,Total_DU!$B$5:$AB$174,26,0),0)</f>
        <v>3928</v>
      </c>
      <c r="Y10" s="178">
        <f>IFERROR(VLOOKUP($D10,Total_DU!$B$5:$AB$174,27,0),0)</f>
        <v>4433</v>
      </c>
      <c r="Z10" s="178">
        <f>IFERROR(VLOOKUP($D10,Population!$B$5:$AA$175,23,FALSE),0)</f>
        <v>6940.5756350687543</v>
      </c>
      <c r="AA10" s="178">
        <f>IFERROR(VLOOKUP($D10,Population!$B$5:$AA$175,24,FALSE),0)</f>
        <v>7383</v>
      </c>
      <c r="AB10" s="178">
        <f>IFERROR(VLOOKUP($D10,Population!$B$5:$AA$175,25,FALSE),0)</f>
        <v>8132</v>
      </c>
      <c r="AC10" s="178">
        <f>IFERROR(VLOOKUP($D10,Population!$B$5:$AA$175,26,FALSE),0)</f>
        <v>9085.5663416926327</v>
      </c>
    </row>
    <row r="11" spans="1:29" x14ac:dyDescent="0.2">
      <c r="A11" s="1" t="s">
        <v>337</v>
      </c>
      <c r="B11" s="1" t="s">
        <v>346</v>
      </c>
      <c r="C11" s="1" t="s">
        <v>345</v>
      </c>
      <c r="D11" s="1">
        <v>7104</v>
      </c>
      <c r="E11" s="1">
        <v>2024</v>
      </c>
      <c r="F11" s="175">
        <f>VLOOKUP($D11,'2024Data to Complete Appendix C'!$C$8:$Q$313,2,FALSE)</f>
        <v>125516</v>
      </c>
      <c r="G11" s="175">
        <f>VLOOKUP($D11,'2024Data to Complete Appendix C'!$C$8:$Q$313,3,FALSE)</f>
        <v>56993</v>
      </c>
      <c r="H11" s="175">
        <f>VLOOKUP($D11,'2024Data to Complete Appendix C'!$C$8:$Q$313,4,FALSE)</f>
        <v>1536</v>
      </c>
      <c r="I11" s="175">
        <f>VLOOKUP($D11,'2024Data to Complete Appendix C'!$C$8:$Q$313,5,FALSE)</f>
        <v>69695</v>
      </c>
      <c r="J11" s="176">
        <f>VLOOKUP($D11,'2024Data to Complete Appendix C'!$C$8:$Q$313,6,FALSE)</f>
        <v>2.2023100000000002</v>
      </c>
      <c r="K11" s="176">
        <f>VLOOKUP($D11,'2024Data to Complete Appendix C'!$C$8:$Q$313,7,FALSE)</f>
        <v>1.95</v>
      </c>
      <c r="L11" s="176">
        <f>VLOOKUP($D11,'2024Data to Complete Appendix C'!$C$8:$Q$313,8,FALSE)</f>
        <v>1.13784</v>
      </c>
      <c r="M11" s="175">
        <f>VLOOKUP($D11,'2024Data to Complete Appendix C'!$C$8:$Q$313,9,FALSE)</f>
        <v>8872.3700000000008</v>
      </c>
      <c r="N11" s="176">
        <f>VLOOKUP($D11,'2024Data to Complete Appendix C'!$C$8:$Q$313,10,FALSE)</f>
        <v>0.13470499999999999</v>
      </c>
      <c r="O11" s="177">
        <f>VLOOKUP($D11,'2024Data to Complete Appendix C'!$C$8:$Q$313,11,FALSE)</f>
        <v>0.442</v>
      </c>
      <c r="P11" s="177">
        <f>VLOOKUP($D11,'2024Data to Complete Appendix C'!$C$8:$Q$313,12,FALSE)</f>
        <v>0.70704999999999996</v>
      </c>
      <c r="Q11" s="177">
        <f>VLOOKUP($D11,'2024Data to Complete Appendix C'!$C$8:$Q$313,13,FALSE)</f>
        <v>0.67204661300000001</v>
      </c>
      <c r="R11" s="176">
        <f>VLOOKUP($D11,'2024Data to Complete Appendix C'!$C$8:$Q$313,14,FALSE)</f>
        <v>2.7</v>
      </c>
      <c r="S11" s="177">
        <f>VLOOKUP($D11,'2024Data to Complete Appendix C'!$C$8:$Q$313,15,FALSE)</f>
        <v>-0.15393899999999999</v>
      </c>
      <c r="T11" s="175">
        <f>IFERROR(VLOOKUP($D11,'2024_Lodging_by_WUP'!$A:$D,4,FALSE),0)</f>
        <v>1296</v>
      </c>
      <c r="U11" s="175">
        <f t="shared" si="0"/>
        <v>2351.6255082096</v>
      </c>
      <c r="V11" s="178">
        <f>IFERROR(VLOOKUP($D11,Total_DU!$B$5:$AB$171,24,0),0)</f>
        <v>64435</v>
      </c>
      <c r="W11" s="178">
        <f>IFERROR(VLOOKUP($D11,Total_DU!$B$5:$AB$174,25,0),0)</f>
        <v>66340</v>
      </c>
      <c r="X11" s="178">
        <f>IFERROR(VLOOKUP($D11,Total_DU!$B$5:$AB$174,26,0),0)</f>
        <v>68070</v>
      </c>
      <c r="Y11" s="178">
        <f>IFERROR(VLOOKUP($D11,Total_DU!$B$5:$AB$174,27,0),0)</f>
        <v>69981</v>
      </c>
      <c r="Z11" s="178">
        <f>IFERROR(VLOOKUP($D11,Population!$B$5:$AA$175,23,FALSE),0)</f>
        <v>137800</v>
      </c>
      <c r="AA11" s="178">
        <f>IFERROR(VLOOKUP($D11,Population!$B$5:$AA$175,24,FALSE),0)</f>
        <v>141173</v>
      </c>
      <c r="AB11" s="178">
        <f>IFERROR(VLOOKUP($D11,Population!$B$5:$AA$175,25,FALSE),0)</f>
        <v>145273</v>
      </c>
      <c r="AC11" s="178">
        <f>IFERROR(VLOOKUP($D11,Population!$B$5:$AA$175,26,FALSE),0)</f>
        <v>149903.05763330118</v>
      </c>
    </row>
    <row r="12" spans="1:29" x14ac:dyDescent="0.2">
      <c r="A12" s="1" t="s">
        <v>337</v>
      </c>
      <c r="B12" s="1" t="s">
        <v>347</v>
      </c>
      <c r="C12" s="1" t="s">
        <v>348</v>
      </c>
      <c r="D12" s="1">
        <v>7768</v>
      </c>
      <c r="E12" s="1">
        <v>2024</v>
      </c>
      <c r="F12" s="175">
        <f>VLOOKUP($D12,'2024Data to Complete Appendix C'!$C$8:$Q$313,2,FALSE)</f>
        <v>70</v>
      </c>
      <c r="G12" s="175">
        <f>VLOOKUP($D12,'2024Data to Complete Appendix C'!$C$8:$Q$313,3,FALSE)</f>
        <v>46</v>
      </c>
      <c r="H12" s="175">
        <f>VLOOKUP($D12,'2024Data to Complete Appendix C'!$C$8:$Q$313,4,FALSE)</f>
        <v>0</v>
      </c>
      <c r="I12" s="175">
        <f>VLOOKUP($D12,'2024Data to Complete Appendix C'!$C$8:$Q$313,5,FALSE)</f>
        <v>334</v>
      </c>
      <c r="J12" s="176">
        <f>VLOOKUP($D12,'2024Data to Complete Appendix C'!$C$8:$Q$313,6,FALSE)</f>
        <v>1.5217400000000001</v>
      </c>
      <c r="K12" s="176">
        <f>VLOOKUP($D12,'2024Data to Complete Appendix C'!$C$8:$Q$313,7,FALSE)</f>
        <v>1.95</v>
      </c>
      <c r="L12" s="176">
        <f>VLOOKUP($D12,'2024Data to Complete Appendix C'!$C$8:$Q$313,8,FALSE)</f>
        <v>1.16848</v>
      </c>
      <c r="M12" s="175">
        <f>VLOOKUP($D12,'2024Data to Complete Appendix C'!$C$8:$Q$313,9,FALSE)</f>
        <v>6.0479099999999999</v>
      </c>
      <c r="N12" s="176">
        <f>VLOOKUP($D12,'2024Data to Complete Appendix C'!$C$8:$Q$313,10,FALSE)</f>
        <v>0.116199</v>
      </c>
      <c r="O12" s="177">
        <f>VLOOKUP($D12,'2024Data to Complete Appendix C'!$C$8:$Q$313,11,FALSE)</f>
        <v>0.442</v>
      </c>
      <c r="P12" s="177">
        <f>VLOOKUP($D12,'2024Data to Complete Appendix C'!$C$8:$Q$313,12,FALSE)</f>
        <v>0.70704999999999996</v>
      </c>
      <c r="Q12" s="177">
        <f>VLOOKUP($D12,'2024Data to Complete Appendix C'!$C$8:$Q$313,13,FALSE)</f>
        <v>0.67204661300000001</v>
      </c>
      <c r="R12" s="176">
        <f>VLOOKUP($D12,'2024Data to Complete Appendix C'!$C$8:$Q$313,14,FALSE)</f>
        <v>2.7</v>
      </c>
      <c r="S12" s="177">
        <f>VLOOKUP($D12,'2024Data to Complete Appendix C'!$C$8:$Q$313,15,FALSE)</f>
        <v>1.7223599999999999E-2</v>
      </c>
      <c r="T12" s="175">
        <f>IFERROR(VLOOKUP($D12,'2024_Lodging_by_WUP'!$A:$D,4,FALSE),0)</f>
        <v>75</v>
      </c>
      <c r="U12" s="175">
        <f t="shared" si="0"/>
        <v>136.08943913250002</v>
      </c>
      <c r="V12" s="178" t="str">
        <f>IFERROR(VLOOKUP($D12,Total_DU!$B$5:$AB$171,24,0),0)</f>
        <v>NA</v>
      </c>
      <c r="W12" s="178" t="str">
        <f>IFERROR(VLOOKUP($D12,Total_DU!$B$5:$AB$174,25,0),0)</f>
        <v>NA</v>
      </c>
      <c r="X12" s="178" t="str">
        <f>IFERROR(VLOOKUP($D12,Total_DU!$B$5:$AB$174,26,0),0)</f>
        <v>NA</v>
      </c>
      <c r="Y12" s="178" t="str">
        <f>IFERROR(VLOOKUP($D12,Total_DU!$B$5:$AB$174,27,0),0)</f>
        <v>NA</v>
      </c>
      <c r="Z12" s="178" t="str">
        <f>IFERROR(VLOOKUP($D12,Population!$B$5:$AA$175,23,FALSE),0)</f>
        <v>NA</v>
      </c>
      <c r="AA12" s="178" t="str">
        <f>IFERROR(VLOOKUP($D12,Population!$B$5:$AA$175,24,FALSE),0)</f>
        <v>NA</v>
      </c>
      <c r="AB12" s="178" t="str">
        <f>IFERROR(VLOOKUP($D12,Population!$B$5:$AA$175,25,FALSE),0)</f>
        <v>NA</v>
      </c>
      <c r="AC12" s="178" t="str">
        <f>IFERROR(VLOOKUP($D12,Population!$B$5:$AA$175,26,FALSE),0)</f>
        <v>NA</v>
      </c>
    </row>
    <row r="13" spans="1:29" x14ac:dyDescent="0.2">
      <c r="A13" s="1" t="s">
        <v>337</v>
      </c>
      <c r="B13" s="1" t="s">
        <v>349</v>
      </c>
      <c r="C13" s="1" t="s">
        <v>350</v>
      </c>
      <c r="D13" s="1">
        <v>8626</v>
      </c>
      <c r="E13" s="1">
        <v>2024</v>
      </c>
      <c r="F13" s="175">
        <f>VLOOKUP($D13,'2024Data to Complete Appendix C'!$C$8:$Q$313,2,FALSE)</f>
        <v>542</v>
      </c>
      <c r="G13" s="175">
        <f>VLOOKUP($D13,'2024Data to Complete Appendix C'!$C$8:$Q$313,3,FALSE)</f>
        <v>333</v>
      </c>
      <c r="H13" s="175">
        <f>VLOOKUP($D13,'2024Data to Complete Appendix C'!$C$8:$Q$313,4,FALSE)</f>
        <v>0</v>
      </c>
      <c r="I13" s="175">
        <f>VLOOKUP($D13,'2024Data to Complete Appendix C'!$C$8:$Q$313,5,FALSE)</f>
        <v>494</v>
      </c>
      <c r="J13" s="176">
        <f>VLOOKUP($D13,'2024Data to Complete Appendix C'!$C$8:$Q$313,6,FALSE)</f>
        <v>1.6276299999999999</v>
      </c>
      <c r="K13" s="176">
        <f>VLOOKUP($D13,'2024Data to Complete Appendix C'!$C$8:$Q$313,7,FALSE)</f>
        <v>1.95</v>
      </c>
      <c r="L13" s="176">
        <f>VLOOKUP($D13,'2024Data to Complete Appendix C'!$C$8:$Q$313,8,FALSE)</f>
        <v>1.21366</v>
      </c>
      <c r="M13" s="175">
        <f>VLOOKUP($D13,'2024Data to Complete Appendix C'!$C$8:$Q$313,9,FALSE)</f>
        <v>59.385599999999997</v>
      </c>
      <c r="N13" s="176">
        <f>VLOOKUP($D13,'2024Data to Complete Appendix C'!$C$8:$Q$313,10,FALSE)</f>
        <v>0.15134500000000001</v>
      </c>
      <c r="O13" s="177">
        <f>VLOOKUP($D13,'2024Data to Complete Appendix C'!$C$8:$Q$313,11,FALSE)</f>
        <v>0.442</v>
      </c>
      <c r="P13" s="177">
        <f>VLOOKUP($D13,'2024Data to Complete Appendix C'!$C$8:$Q$313,12,FALSE)</f>
        <v>0.70704999999999996</v>
      </c>
      <c r="Q13" s="177">
        <f>VLOOKUP($D13,'2024Data to Complete Appendix C'!$C$8:$Q$313,13,FALSE)</f>
        <v>0.67204661300000001</v>
      </c>
      <c r="R13" s="176">
        <f>VLOOKUP($D13,'2024Data to Complete Appendix C'!$C$8:$Q$313,14,FALSE)</f>
        <v>2.7</v>
      </c>
      <c r="S13" s="177">
        <f>VLOOKUP($D13,'2024Data to Complete Appendix C'!$C$8:$Q$313,15,FALSE)</f>
        <v>0.487705</v>
      </c>
      <c r="T13" s="175">
        <f>IFERROR(VLOOKUP($D13,'2024_Lodging_by_WUP'!$A:$D,4,FALSE),0)</f>
        <v>0</v>
      </c>
      <c r="U13" s="175">
        <f t="shared" si="0"/>
        <v>0</v>
      </c>
      <c r="V13" s="178">
        <f>IFERROR(VLOOKUP($D13,Total_DU!$B$5:$AB$171,24,0),0)</f>
        <v>0</v>
      </c>
      <c r="W13" s="178">
        <f>IFERROR(VLOOKUP($D13,Total_DU!$B$5:$AB$174,25,0),0)</f>
        <v>0</v>
      </c>
      <c r="X13" s="178">
        <f>IFERROR(VLOOKUP($D13,Total_DU!$B$5:$AB$174,26,0),0)</f>
        <v>0</v>
      </c>
      <c r="Y13" s="178">
        <f>IFERROR(VLOOKUP($D13,Total_DU!$B$5:$AB$174,27,0),0)</f>
        <v>0</v>
      </c>
      <c r="Z13" s="178">
        <f>IFERROR(VLOOKUP($D13,Population!$B$5:$AA$175,23,FALSE),0)</f>
        <v>0</v>
      </c>
      <c r="AA13" s="178">
        <f>IFERROR(VLOOKUP($D13,Population!$B$5:$AA$175,24,FALSE),0)</f>
        <v>0</v>
      </c>
      <c r="AB13" s="178">
        <f>IFERROR(VLOOKUP($D13,Population!$B$5:$AA$175,25,FALSE),0)</f>
        <v>0</v>
      </c>
      <c r="AC13" s="178">
        <f>IFERROR(VLOOKUP($D13,Population!$B$5:$AA$175,26,FALSE),0)</f>
        <v>0</v>
      </c>
    </row>
    <row r="14" spans="1:29" x14ac:dyDescent="0.2">
      <c r="A14" s="1" t="s">
        <v>337</v>
      </c>
      <c r="B14" s="1" t="s">
        <v>351</v>
      </c>
      <c r="C14" s="1" t="s">
        <v>352</v>
      </c>
      <c r="D14" s="1">
        <v>99913</v>
      </c>
      <c r="E14" s="1">
        <v>2024</v>
      </c>
      <c r="F14" s="175">
        <f>VLOOKUP($D14,'2024Data to Complete Appendix C'!$C$8:$Q$313,2,FALSE)</f>
        <v>1141</v>
      </c>
      <c r="G14" s="175">
        <f>VLOOKUP($D14,'2024Data to Complete Appendix C'!$C$8:$Q$313,3,FALSE)</f>
        <v>668</v>
      </c>
      <c r="H14" s="175">
        <f>VLOOKUP($D14,'2024Data to Complete Appendix C'!$C$8:$Q$313,4,FALSE)</f>
        <v>0</v>
      </c>
      <c r="I14" s="175">
        <f>VLOOKUP($D14,'2024Data to Complete Appendix C'!$C$8:$Q$313,5,FALSE)</f>
        <v>1038</v>
      </c>
      <c r="J14" s="176">
        <f>VLOOKUP($D14,'2024Data to Complete Appendix C'!$C$8:$Q$313,6,FALSE)</f>
        <v>1.70808</v>
      </c>
      <c r="K14" s="176">
        <f>VLOOKUP($D14,'2024Data to Complete Appendix C'!$C$8:$Q$313,7,FALSE)</f>
        <v>1.95</v>
      </c>
      <c r="L14" s="176">
        <f>VLOOKUP($D14,'2024Data to Complete Appendix C'!$C$8:$Q$313,8,FALSE)</f>
        <v>1.1803300000000001</v>
      </c>
      <c r="M14" s="175">
        <f>VLOOKUP($D14,'2024Data to Complete Appendix C'!$C$8:$Q$313,9,FALSE)</f>
        <v>105.518</v>
      </c>
      <c r="N14" s="176">
        <f>VLOOKUP($D14,'2024Data to Complete Appendix C'!$C$8:$Q$313,10,FALSE)</f>
        <v>0.13641300000000001</v>
      </c>
      <c r="O14" s="177">
        <f>VLOOKUP($D14,'2024Data to Complete Appendix C'!$C$8:$Q$313,11,FALSE)</f>
        <v>0.442</v>
      </c>
      <c r="P14" s="177">
        <f>VLOOKUP($D14,'2024Data to Complete Appendix C'!$C$8:$Q$313,12,FALSE)</f>
        <v>0.70704999999999996</v>
      </c>
      <c r="Q14" s="177">
        <f>VLOOKUP($D14,'2024Data to Complete Appendix C'!$C$8:$Q$313,13,FALSE)</f>
        <v>0.67204661300000001</v>
      </c>
      <c r="R14" s="176">
        <f>VLOOKUP($D14,'2024Data to Complete Appendix C'!$C$8:$Q$313,14,FALSE)</f>
        <v>2.7</v>
      </c>
      <c r="S14" s="177">
        <f>VLOOKUP($D14,'2024Data to Complete Appendix C'!$C$8:$Q$313,15,FALSE)</f>
        <v>-9.0983400000000006E-2</v>
      </c>
      <c r="T14" s="175">
        <f>IFERROR(VLOOKUP($D14,'2024_Lodging_by_WUP'!$A:$D,4,FALSE),0)</f>
        <v>3</v>
      </c>
      <c r="U14" s="175">
        <f t="shared" si="0"/>
        <v>5.4435775653000009</v>
      </c>
      <c r="V14" s="178">
        <f>IFERROR(VLOOKUP($D14,Total_DU!$B$5:$AB$171,24,0),0)</f>
        <v>0</v>
      </c>
      <c r="W14" s="178">
        <f>IFERROR(VLOOKUP($D14,Total_DU!$B$5:$AB$174,25,0),0)</f>
        <v>0</v>
      </c>
      <c r="X14" s="178">
        <f>IFERROR(VLOOKUP($D14,Total_DU!$B$5:$AB$174,26,0),0)</f>
        <v>0</v>
      </c>
      <c r="Y14" s="178">
        <f>IFERROR(VLOOKUP($D14,Total_DU!$B$5:$AB$174,27,0),0)</f>
        <v>0</v>
      </c>
      <c r="Z14" s="178">
        <f>IFERROR(VLOOKUP($D14,Population!$B$5:$AA$175,23,FALSE),0)</f>
        <v>0</v>
      </c>
      <c r="AA14" s="178">
        <f>IFERROR(VLOOKUP($D14,Population!$B$5:$AA$175,24,FALSE),0)</f>
        <v>0</v>
      </c>
      <c r="AB14" s="178">
        <f>IFERROR(VLOOKUP($D14,Population!$B$5:$AA$175,25,FALSE),0)</f>
        <v>0</v>
      </c>
      <c r="AC14" s="178">
        <f>IFERROR(VLOOKUP($D14,Population!$B$5:$AA$175,26,FALSE),0)</f>
        <v>0</v>
      </c>
    </row>
    <row r="15" spans="1:29" x14ac:dyDescent="0.2">
      <c r="A15" s="1" t="s">
        <v>337</v>
      </c>
      <c r="B15" s="1" t="s">
        <v>353</v>
      </c>
      <c r="C15" s="1" t="s">
        <v>354</v>
      </c>
      <c r="D15" s="1">
        <v>99916</v>
      </c>
      <c r="E15" s="1">
        <v>2024</v>
      </c>
      <c r="F15" s="175">
        <f>VLOOKUP($D15,'2024Data to Complete Appendix C'!$C$8:$Q$313,2,FALSE)</f>
        <v>1945</v>
      </c>
      <c r="G15" s="175">
        <f>VLOOKUP($D15,'2024Data to Complete Appendix C'!$C$8:$Q$313,3,FALSE)</f>
        <v>1071</v>
      </c>
      <c r="H15" s="175">
        <f>VLOOKUP($D15,'2024Data to Complete Appendix C'!$C$8:$Q$313,4,FALSE)</f>
        <v>0</v>
      </c>
      <c r="I15" s="175">
        <f>VLOOKUP($D15,'2024Data to Complete Appendix C'!$C$8:$Q$313,5,FALSE)</f>
        <v>1557</v>
      </c>
      <c r="J15" s="176">
        <f>VLOOKUP($D15,'2024Data to Complete Appendix C'!$C$8:$Q$313,6,FALSE)</f>
        <v>1.81606</v>
      </c>
      <c r="K15" s="176">
        <f>VLOOKUP($D15,'2024Data to Complete Appendix C'!$C$8:$Q$313,7,FALSE)</f>
        <v>1.95</v>
      </c>
      <c r="L15" s="176">
        <f>VLOOKUP($D15,'2024Data to Complete Appendix C'!$C$8:$Q$313,8,FALSE)</f>
        <v>1.1803300000000001</v>
      </c>
      <c r="M15" s="175">
        <f>VLOOKUP($D15,'2024Data to Complete Appendix C'!$C$8:$Q$313,9,FALSE)</f>
        <v>179.87</v>
      </c>
      <c r="N15" s="176">
        <f>VLOOKUP($D15,'2024Data to Complete Appendix C'!$C$8:$Q$313,10,FALSE)</f>
        <v>0.14379600000000001</v>
      </c>
      <c r="O15" s="177">
        <f>VLOOKUP($D15,'2024Data to Complete Appendix C'!$C$8:$Q$313,11,FALSE)</f>
        <v>0.442</v>
      </c>
      <c r="P15" s="177">
        <f>VLOOKUP($D15,'2024Data to Complete Appendix C'!$C$8:$Q$313,12,FALSE)</f>
        <v>0.70704999999999996</v>
      </c>
      <c r="Q15" s="177">
        <f>VLOOKUP($D15,'2024Data to Complete Appendix C'!$C$8:$Q$313,13,FALSE)</f>
        <v>0.67204661300000001</v>
      </c>
      <c r="R15" s="176">
        <f>VLOOKUP($D15,'2024Data to Complete Appendix C'!$C$8:$Q$313,14,FALSE)</f>
        <v>2.7</v>
      </c>
      <c r="S15" s="177">
        <f>VLOOKUP($D15,'2024Data to Complete Appendix C'!$C$8:$Q$313,15,FALSE)</f>
        <v>-9.0983400000000006E-2</v>
      </c>
      <c r="T15" s="175">
        <f>IFERROR(VLOOKUP($D15,'2024_Lodging_by_WUP'!$A:$D,4,FALSE),0)</f>
        <v>5</v>
      </c>
      <c r="U15" s="175">
        <f t="shared" si="0"/>
        <v>9.0726292755000006</v>
      </c>
      <c r="V15" s="178">
        <f>IFERROR(VLOOKUP($D15,Total_DU!$B$5:$AB$171,24,0),0)</f>
        <v>0</v>
      </c>
      <c r="W15" s="178">
        <f>IFERROR(VLOOKUP($D15,Total_DU!$B$5:$AB$174,25,0),0)</f>
        <v>0</v>
      </c>
      <c r="X15" s="178">
        <f>IFERROR(VLOOKUP($D15,Total_DU!$B$5:$AB$174,26,0),0)</f>
        <v>0</v>
      </c>
      <c r="Y15" s="178">
        <f>IFERROR(VLOOKUP($D15,Total_DU!$B$5:$AB$174,27,0),0)</f>
        <v>0</v>
      </c>
      <c r="Z15" s="178">
        <f>IFERROR(VLOOKUP($D15,Population!$B$5:$AA$175,23,FALSE),0)</f>
        <v>0</v>
      </c>
      <c r="AA15" s="178">
        <f>IFERROR(VLOOKUP($D15,Population!$B$5:$AA$175,24,FALSE),0)</f>
        <v>0</v>
      </c>
      <c r="AB15" s="178">
        <f>IFERROR(VLOOKUP($D15,Population!$B$5:$AA$175,25,FALSE),0)</f>
        <v>0</v>
      </c>
      <c r="AC15" s="178">
        <f>IFERROR(VLOOKUP($D15,Population!$B$5:$AA$175,26,FALSE),0)</f>
        <v>0</v>
      </c>
    </row>
    <row r="16" spans="1:29" x14ac:dyDescent="0.2">
      <c r="A16" s="1" t="s">
        <v>355</v>
      </c>
      <c r="B16" s="1" t="s">
        <v>356</v>
      </c>
      <c r="C16" s="1" t="s">
        <v>357</v>
      </c>
      <c r="D16" s="1">
        <v>207</v>
      </c>
      <c r="E16" s="1">
        <v>2024</v>
      </c>
      <c r="F16" s="175">
        <f>VLOOKUP($D16,'2024Data to Complete Appendix C'!$C$8:$Q$313,2,FALSE)</f>
        <v>4891</v>
      </c>
      <c r="G16" s="175">
        <f>VLOOKUP($D16,'2024Data to Complete Appendix C'!$C$8:$Q$313,3,FALSE)</f>
        <v>2442</v>
      </c>
      <c r="H16" s="175">
        <f>VLOOKUP($D16,'2024Data to Complete Appendix C'!$C$8:$Q$313,4,FALSE)</f>
        <v>264</v>
      </c>
      <c r="I16" s="175">
        <f>VLOOKUP($D16,'2024Data to Complete Appendix C'!$C$8:$Q$313,5,FALSE)</f>
        <v>3224</v>
      </c>
      <c r="J16" s="176">
        <f>VLOOKUP($D16,'2024Data to Complete Appendix C'!$C$8:$Q$313,6,FALSE)</f>
        <v>2.0028700000000002</v>
      </c>
      <c r="K16" s="176">
        <f>VLOOKUP($D16,'2024Data to Complete Appendix C'!$C$8:$Q$313,7,FALSE)</f>
        <v>1.95</v>
      </c>
      <c r="L16" s="176">
        <f>VLOOKUP($D16,'2024Data to Complete Appendix C'!$C$8:$Q$313,8,FALSE)</f>
        <v>1.0867</v>
      </c>
      <c r="M16" s="175">
        <f>VLOOKUP($D16,'2024Data to Complete Appendix C'!$C$8:$Q$313,9,FALSE)</f>
        <v>217.459</v>
      </c>
      <c r="N16" s="176">
        <f>VLOOKUP($D16,'2024Data to Complete Appendix C'!$C$8:$Q$313,10,FALSE)</f>
        <v>8.1767999999999993E-2</v>
      </c>
      <c r="O16" s="177">
        <f>VLOOKUP($D16,'2024Data to Complete Appendix C'!$C$8:$Q$313,11,FALSE)</f>
        <v>0.56699999999999995</v>
      </c>
      <c r="P16" s="177">
        <f>VLOOKUP($D16,'2024Data to Complete Appendix C'!$C$8:$Q$313,12,FALSE)</f>
        <v>0.77268000000000003</v>
      </c>
      <c r="Q16" s="177">
        <f>VLOOKUP($D16,'2024Data to Complete Appendix C'!$C$8:$Q$313,13,FALSE)</f>
        <v>0.59446223099999995</v>
      </c>
      <c r="R16" s="176">
        <f>VLOOKUP($D16,'2024Data to Complete Appendix C'!$C$8:$Q$313,14,FALSE)</f>
        <v>2.2999999999999998</v>
      </c>
      <c r="S16" s="177">
        <f>VLOOKUP($D16,'2024Data to Complete Appendix C'!$C$8:$Q$313,15,FALSE)</f>
        <v>0.51644500000000004</v>
      </c>
      <c r="T16" s="175">
        <f>IFERROR(VLOOKUP($D16,'2024_Lodging_by_WUP'!$A:$D,4,FALSE),0)</f>
        <v>558</v>
      </c>
      <c r="U16" s="175">
        <f t="shared" si="0"/>
        <v>762.93282726539996</v>
      </c>
      <c r="V16" s="178">
        <f>IFERROR(VLOOKUP($D16,Total_DU!$B$5:$AB$171,24,0),0)</f>
        <v>2298</v>
      </c>
      <c r="W16" s="178">
        <f>IFERROR(VLOOKUP($D16,Total_DU!$B$5:$AB$174,25,0),0)</f>
        <v>2338</v>
      </c>
      <c r="X16" s="178">
        <f>IFERROR(VLOOKUP($D16,Total_DU!$B$5:$AB$174,26,0),0)</f>
        <v>2342</v>
      </c>
      <c r="Y16" s="178">
        <f>IFERROR(VLOOKUP($D16,Total_DU!$B$5:$AB$174,27,0),0)</f>
        <v>2352</v>
      </c>
      <c r="Z16" s="178">
        <f>IFERROR(VLOOKUP($D16,Population!$B$5:$AA$175,23,FALSE),0)</f>
        <v>5683.558269855057</v>
      </c>
      <c r="AA16" s="178">
        <f>IFERROR(VLOOKUP($D16,Population!$B$5:$AA$175,24,FALSE),0)</f>
        <v>5698</v>
      </c>
      <c r="AB16" s="178">
        <f>IFERROR(VLOOKUP($D16,Population!$B$5:$AA$175,25,FALSE),0)</f>
        <v>5804</v>
      </c>
      <c r="AC16" s="178">
        <f>IFERROR(VLOOKUP($D16,Population!$B$5:$AA$175,26,FALSE),0)</f>
        <v>5097.1279572035091</v>
      </c>
    </row>
    <row r="17" spans="1:29" x14ac:dyDescent="0.2">
      <c r="A17" s="1" t="s">
        <v>355</v>
      </c>
      <c r="B17" s="1" t="s">
        <v>358</v>
      </c>
      <c r="C17" s="1" t="s">
        <v>359</v>
      </c>
      <c r="D17" s="1">
        <v>419</v>
      </c>
      <c r="E17" s="1">
        <v>2024</v>
      </c>
      <c r="F17" s="175">
        <f>VLOOKUP($D17,'2024Data to Complete Appendix C'!$C$8:$Q$313,2,FALSE)</f>
        <v>25724</v>
      </c>
      <c r="G17" s="175">
        <f>VLOOKUP($D17,'2024Data to Complete Appendix C'!$C$8:$Q$313,3,FALSE)</f>
        <v>12027</v>
      </c>
      <c r="H17" s="175">
        <f>VLOOKUP($D17,'2024Data to Complete Appendix C'!$C$8:$Q$313,4,FALSE)</f>
        <v>493</v>
      </c>
      <c r="I17" s="175">
        <f>VLOOKUP($D17,'2024Data to Complete Appendix C'!$C$8:$Q$313,5,FALSE)</f>
        <v>13836</v>
      </c>
      <c r="J17" s="176">
        <f>VLOOKUP($D17,'2024Data to Complete Appendix C'!$C$8:$Q$313,6,FALSE)</f>
        <v>2.1388500000000001</v>
      </c>
      <c r="K17" s="176">
        <f>VLOOKUP($D17,'2024Data to Complete Appendix C'!$C$8:$Q$313,7,FALSE)</f>
        <v>1.95</v>
      </c>
      <c r="L17" s="176">
        <f>VLOOKUP($D17,'2024Data to Complete Appendix C'!$C$8:$Q$313,8,FALSE)</f>
        <v>1.08142</v>
      </c>
      <c r="M17" s="175">
        <f>VLOOKUP($D17,'2024Data to Complete Appendix C'!$C$8:$Q$313,9,FALSE)</f>
        <v>1074.1099999999999</v>
      </c>
      <c r="N17" s="176">
        <f>VLOOKUP($D17,'2024Data to Complete Appendix C'!$C$8:$Q$313,10,FALSE)</f>
        <v>8.1986000000000003E-2</v>
      </c>
      <c r="O17" s="177">
        <f>VLOOKUP($D17,'2024Data to Complete Appendix C'!$C$8:$Q$313,11,FALSE)</f>
        <v>0.56699999999999995</v>
      </c>
      <c r="P17" s="177">
        <f>VLOOKUP($D17,'2024Data to Complete Appendix C'!$C$8:$Q$313,12,FALSE)</f>
        <v>0.77268000000000003</v>
      </c>
      <c r="Q17" s="177">
        <f>VLOOKUP($D17,'2024Data to Complete Appendix C'!$C$8:$Q$313,13,FALSE)</f>
        <v>0.59446223099999995</v>
      </c>
      <c r="R17" s="176">
        <f>VLOOKUP($D17,'2024Data to Complete Appendix C'!$C$8:$Q$313,14,FALSE)</f>
        <v>2.2999999999999998</v>
      </c>
      <c r="S17" s="177">
        <f>VLOOKUP($D17,'2024Data to Complete Appendix C'!$C$8:$Q$313,15,FALSE)</f>
        <v>7.2375200000000001E-2</v>
      </c>
      <c r="T17" s="175">
        <f>IFERROR(VLOOKUP($D17,'2024_Lodging_by_WUP'!$A:$D,4,FALSE),0)</f>
        <v>151</v>
      </c>
      <c r="U17" s="175">
        <f t="shared" si="0"/>
        <v>206.45673282629997</v>
      </c>
      <c r="V17" s="178">
        <f>IFERROR(VLOOKUP($D17,Total_DU!$B$5:$AB$171,24,0),0)</f>
        <v>4175</v>
      </c>
      <c r="W17" s="178">
        <f>IFERROR(VLOOKUP($D17,Total_DU!$B$5:$AB$174,25,0),0)</f>
        <v>4175</v>
      </c>
      <c r="X17" s="178">
        <f>IFERROR(VLOOKUP($D17,Total_DU!$B$5:$AB$174,26,0),0)</f>
        <v>4347</v>
      </c>
      <c r="Y17" s="178">
        <f>IFERROR(VLOOKUP($D17,Total_DU!$B$5:$AB$174,27,0),0)</f>
        <v>4356</v>
      </c>
      <c r="Z17" s="178">
        <f>IFERROR(VLOOKUP($D17,Population!$B$5:$AA$175,23,FALSE),0)</f>
        <v>9185.2672688781877</v>
      </c>
      <c r="AA17" s="178">
        <f>IFERROR(VLOOKUP($D17,Population!$B$5:$AA$175,24,FALSE),0)</f>
        <v>9166</v>
      </c>
      <c r="AB17" s="178">
        <f>IFERROR(VLOOKUP($D17,Population!$B$5:$AA$175,25,FALSE),0)</f>
        <v>9546</v>
      </c>
      <c r="AC17" s="178">
        <f>IFERROR(VLOOKUP($D17,Population!$B$5:$AA$175,26,FALSE),0)</f>
        <v>9321.3680488493137</v>
      </c>
    </row>
    <row r="18" spans="1:29" x14ac:dyDescent="0.2">
      <c r="A18" s="1" t="s">
        <v>355</v>
      </c>
      <c r="B18" s="1" t="s">
        <v>360</v>
      </c>
      <c r="C18" s="1" t="s">
        <v>361</v>
      </c>
      <c r="D18" s="1">
        <v>729</v>
      </c>
      <c r="E18" s="1">
        <v>2024</v>
      </c>
      <c r="F18" s="175">
        <f>VLOOKUP($D18,'2024Data to Complete Appendix C'!$C$8:$Q$313,2,FALSE)</f>
        <v>2184</v>
      </c>
      <c r="G18" s="175">
        <f>VLOOKUP($D18,'2024Data to Complete Appendix C'!$C$8:$Q$313,3,FALSE)</f>
        <v>1143</v>
      </c>
      <c r="H18" s="175">
        <f>VLOOKUP($D18,'2024Data to Complete Appendix C'!$C$8:$Q$313,4,FALSE)</f>
        <v>0</v>
      </c>
      <c r="I18" s="175">
        <f>VLOOKUP($D18,'2024Data to Complete Appendix C'!$C$8:$Q$313,5,FALSE)</f>
        <v>1382</v>
      </c>
      <c r="J18" s="176">
        <f>VLOOKUP($D18,'2024Data to Complete Appendix C'!$C$8:$Q$313,6,FALSE)</f>
        <v>1.91076</v>
      </c>
      <c r="K18" s="176">
        <f>VLOOKUP($D18,'2024Data to Complete Appendix C'!$C$8:$Q$313,7,FALSE)</f>
        <v>1.95</v>
      </c>
      <c r="L18" s="176">
        <f>VLOOKUP($D18,'2024Data to Complete Appendix C'!$C$8:$Q$313,8,FALSE)</f>
        <v>1.0984100000000001</v>
      </c>
      <c r="M18" s="175">
        <f>VLOOKUP($D18,'2024Data to Complete Appendix C'!$C$8:$Q$313,9,FALSE)</f>
        <v>110.21599999999999</v>
      </c>
      <c r="N18" s="176">
        <f>VLOOKUP($D18,'2024Data to Complete Appendix C'!$C$8:$Q$313,10,FALSE)</f>
        <v>8.7946700000000003E-2</v>
      </c>
      <c r="O18" s="177">
        <f>VLOOKUP($D18,'2024Data to Complete Appendix C'!$C$8:$Q$313,11,FALSE)</f>
        <v>0.56699999999999995</v>
      </c>
      <c r="P18" s="177">
        <f>VLOOKUP($D18,'2024Data to Complete Appendix C'!$C$8:$Q$313,12,FALSE)</f>
        <v>0.77268000000000003</v>
      </c>
      <c r="Q18" s="177">
        <f>VLOOKUP($D18,'2024Data to Complete Appendix C'!$C$8:$Q$313,13,FALSE)</f>
        <v>0.59446223099999995</v>
      </c>
      <c r="R18" s="176">
        <f>VLOOKUP($D18,'2024Data to Complete Appendix C'!$C$8:$Q$313,14,FALSE)</f>
        <v>2.2999999999999998</v>
      </c>
      <c r="S18" s="177">
        <f>VLOOKUP($D18,'2024Data to Complete Appendix C'!$C$8:$Q$313,15,FALSE)</f>
        <v>-0.47904200000000002</v>
      </c>
      <c r="T18" s="175">
        <f>IFERROR(VLOOKUP($D18,'2024_Lodging_by_WUP'!$A:$D,4,FALSE),0)</f>
        <v>1</v>
      </c>
      <c r="U18" s="175">
        <f t="shared" si="0"/>
        <v>1.3672631312999999</v>
      </c>
      <c r="V18" s="178">
        <f>IFERROR(VLOOKUP($D18,Total_DU!$B$5:$AB$171,24,0),0)</f>
        <v>0</v>
      </c>
      <c r="W18" s="178">
        <f>IFERROR(VLOOKUP($D18,Total_DU!$B$5:$AB$174,25,0),0)</f>
        <v>0</v>
      </c>
      <c r="X18" s="178">
        <f>IFERROR(VLOOKUP($D18,Total_DU!$B$5:$AB$174,26,0),0)</f>
        <v>0</v>
      </c>
      <c r="Y18" s="178">
        <f>IFERROR(VLOOKUP($D18,Total_DU!$B$5:$AB$174,27,0),0)</f>
        <v>0</v>
      </c>
      <c r="Z18" s="178">
        <f>IFERROR(VLOOKUP($D18,Population!$B$5:$AA$175,23,FALSE),0)</f>
        <v>0</v>
      </c>
      <c r="AA18" s="178">
        <f>IFERROR(VLOOKUP($D18,Population!$B$5:$AA$175,24,FALSE),0)</f>
        <v>0</v>
      </c>
      <c r="AB18" s="178">
        <f>IFERROR(VLOOKUP($D18,Population!$B$5:$AA$175,25,FALSE),0)</f>
        <v>0</v>
      </c>
      <c r="AC18" s="178">
        <f>IFERROR(VLOOKUP($D18,Population!$B$5:$AA$175,26,FALSE),0)</f>
        <v>0</v>
      </c>
    </row>
    <row r="19" spans="1:29" x14ac:dyDescent="0.2">
      <c r="A19" s="1" t="s">
        <v>355</v>
      </c>
      <c r="B19" s="1" t="s">
        <v>362</v>
      </c>
      <c r="C19" s="1" t="s">
        <v>363</v>
      </c>
      <c r="D19" s="1">
        <v>1118</v>
      </c>
      <c r="E19" s="1">
        <v>2024</v>
      </c>
      <c r="F19" s="175">
        <f>VLOOKUP($D19,'2024Data to Complete Appendix C'!$C$8:$Q$313,2,FALSE)</f>
        <v>7754</v>
      </c>
      <c r="G19" s="175">
        <f>VLOOKUP($D19,'2024Data to Complete Appendix C'!$C$8:$Q$313,3,FALSE)</f>
        <v>3700</v>
      </c>
      <c r="H19" s="175">
        <f>VLOOKUP($D19,'2024Data to Complete Appendix C'!$C$8:$Q$313,4,FALSE)</f>
        <v>22</v>
      </c>
      <c r="I19" s="175">
        <f>VLOOKUP($D19,'2024Data to Complete Appendix C'!$C$8:$Q$313,5,FALSE)</f>
        <v>4509</v>
      </c>
      <c r="J19" s="176">
        <f>VLOOKUP($D19,'2024Data to Complete Appendix C'!$C$8:$Q$313,6,FALSE)</f>
        <v>2.0956800000000002</v>
      </c>
      <c r="K19" s="176">
        <f>VLOOKUP($D19,'2024Data to Complete Appendix C'!$C$8:$Q$313,7,FALSE)</f>
        <v>1.95</v>
      </c>
      <c r="L19" s="176">
        <f>VLOOKUP($D19,'2024Data to Complete Appendix C'!$C$8:$Q$313,8,FALSE)</f>
        <v>1.1892499999999999</v>
      </c>
      <c r="M19" s="175">
        <f>VLOOKUP($D19,'2024Data to Complete Appendix C'!$C$8:$Q$313,9,FALSE)</f>
        <v>752.52200000000005</v>
      </c>
      <c r="N19" s="176">
        <f>VLOOKUP($D19,'2024Data to Complete Appendix C'!$C$8:$Q$313,10,FALSE)</f>
        <v>0.16900999999999999</v>
      </c>
      <c r="O19" s="177">
        <f>VLOOKUP($D19,'2024Data to Complete Appendix C'!$C$8:$Q$313,11,FALSE)</f>
        <v>0.56699999999999995</v>
      </c>
      <c r="P19" s="177">
        <f>VLOOKUP($D19,'2024Data to Complete Appendix C'!$C$8:$Q$313,12,FALSE)</f>
        <v>0.77268000000000003</v>
      </c>
      <c r="Q19" s="177">
        <f>VLOOKUP($D19,'2024Data to Complete Appendix C'!$C$8:$Q$313,13,FALSE)</f>
        <v>0.59446223099999995</v>
      </c>
      <c r="R19" s="176">
        <f>VLOOKUP($D19,'2024Data to Complete Appendix C'!$C$8:$Q$313,14,FALSE)</f>
        <v>2.2999999999999998</v>
      </c>
      <c r="S19" s="177">
        <f>VLOOKUP($D19,'2024Data to Complete Appendix C'!$C$8:$Q$313,15,FALSE)</f>
        <v>-0.43121399999999999</v>
      </c>
      <c r="T19" s="175">
        <f>IFERROR(VLOOKUP($D19,'2024_Lodging_by_WUP'!$A:$D,4,FALSE),0)</f>
        <v>8</v>
      </c>
      <c r="U19" s="175">
        <f t="shared" si="0"/>
        <v>10.938105050399999</v>
      </c>
      <c r="V19" s="178">
        <f>IFERROR(VLOOKUP($D19,Total_DU!$B$5:$AB$171,24,0),0)</f>
        <v>2485</v>
      </c>
      <c r="W19" s="178">
        <f>IFERROR(VLOOKUP($D19,Total_DU!$B$5:$AB$174,25,0),0)</f>
        <v>2487</v>
      </c>
      <c r="X19" s="178">
        <f>IFERROR(VLOOKUP($D19,Total_DU!$B$5:$AB$174,26,0),0)</f>
        <v>2574</v>
      </c>
      <c r="Y19" s="178">
        <f>IFERROR(VLOOKUP($D19,Total_DU!$B$5:$AB$174,27,0),0)</f>
        <v>2619</v>
      </c>
      <c r="Z19" s="178">
        <f>IFERROR(VLOOKUP($D19,Population!$B$5:$AA$175,23,FALSE),0)</f>
        <v>5190.2001271249919</v>
      </c>
      <c r="AA19" s="178">
        <f>IFERROR(VLOOKUP($D19,Population!$B$5:$AA$175,24,FALSE),0)</f>
        <v>5196</v>
      </c>
      <c r="AB19" s="178">
        <f>IFERROR(VLOOKUP($D19,Population!$B$5:$AA$175,25,FALSE),0)</f>
        <v>5378</v>
      </c>
      <c r="AC19" s="178">
        <f>IFERROR(VLOOKUP($D19,Population!$B$5:$AA$175,26,FALSE),0)</f>
        <v>5242.088292503272</v>
      </c>
    </row>
    <row r="20" spans="1:29" x14ac:dyDescent="0.2">
      <c r="A20" s="1" t="s">
        <v>355</v>
      </c>
      <c r="B20" s="1" t="s">
        <v>364</v>
      </c>
      <c r="C20" s="1" t="s">
        <v>365</v>
      </c>
      <c r="D20" s="1">
        <v>1345</v>
      </c>
      <c r="E20" s="1">
        <v>2024</v>
      </c>
      <c r="F20" s="175">
        <f>VLOOKUP($D20,'2024Data to Complete Appendix C'!$C$8:$Q$313,2,FALSE)</f>
        <v>394</v>
      </c>
      <c r="G20" s="175">
        <f>VLOOKUP($D20,'2024Data to Complete Appendix C'!$C$8:$Q$313,3,FALSE)</f>
        <v>239</v>
      </c>
      <c r="H20" s="175">
        <f>VLOOKUP($D20,'2024Data to Complete Appendix C'!$C$8:$Q$313,4,FALSE)</f>
        <v>0</v>
      </c>
      <c r="I20" s="175">
        <f>VLOOKUP($D20,'2024Data to Complete Appendix C'!$C$8:$Q$313,5,FALSE)</f>
        <v>279</v>
      </c>
      <c r="J20" s="176">
        <f>VLOOKUP($D20,'2024Data to Complete Appendix C'!$C$8:$Q$313,6,FALSE)</f>
        <v>1.6485399999999999</v>
      </c>
      <c r="K20" s="176">
        <f>VLOOKUP($D20,'2024Data to Complete Appendix C'!$C$8:$Q$313,7,FALSE)</f>
        <v>1.95</v>
      </c>
      <c r="L20" s="176">
        <f>VLOOKUP($D20,'2024Data to Complete Appendix C'!$C$8:$Q$313,8,FALSE)</f>
        <v>1.07714</v>
      </c>
      <c r="M20" s="175">
        <f>VLOOKUP($D20,'2024Data to Complete Appendix C'!$C$8:$Q$313,9,FALSE)</f>
        <v>15.5867</v>
      </c>
      <c r="N20" s="176">
        <f>VLOOKUP($D20,'2024Data to Complete Appendix C'!$C$8:$Q$313,10,FALSE)</f>
        <v>6.1223699999999999E-2</v>
      </c>
      <c r="O20" s="177">
        <f>VLOOKUP($D20,'2024Data to Complete Appendix C'!$C$8:$Q$313,11,FALSE)</f>
        <v>0.56699999999999995</v>
      </c>
      <c r="P20" s="177">
        <f>VLOOKUP($D20,'2024Data to Complete Appendix C'!$C$8:$Q$313,12,FALSE)</f>
        <v>0.77268000000000003</v>
      </c>
      <c r="Q20" s="177">
        <f>VLOOKUP($D20,'2024Data to Complete Appendix C'!$C$8:$Q$313,13,FALSE)</f>
        <v>0.59446223099999995</v>
      </c>
      <c r="R20" s="176">
        <f>VLOOKUP($D20,'2024Data to Complete Appendix C'!$C$8:$Q$313,14,FALSE)</f>
        <v>2.2999999999999998</v>
      </c>
      <c r="S20" s="177">
        <f>VLOOKUP($D20,'2024Data to Complete Appendix C'!$C$8:$Q$313,15,FALSE)</f>
        <v>-0.50578900000000004</v>
      </c>
      <c r="T20" s="175">
        <f>IFERROR(VLOOKUP($D20,'2024_Lodging_by_WUP'!$A:$D,4,FALSE),0)</f>
        <v>0</v>
      </c>
      <c r="U20" s="175">
        <f t="shared" si="0"/>
        <v>0</v>
      </c>
      <c r="V20" s="178">
        <f>IFERROR(VLOOKUP($D20,Total_DU!$B$5:$AB$171,24,0),0)</f>
        <v>0</v>
      </c>
      <c r="W20" s="178">
        <f>IFERROR(VLOOKUP($D20,Total_DU!$B$5:$AB$174,25,0),0)</f>
        <v>0</v>
      </c>
      <c r="X20" s="178">
        <f>IFERROR(VLOOKUP($D20,Total_DU!$B$5:$AB$174,26,0),0)</f>
        <v>0</v>
      </c>
      <c r="Y20" s="178">
        <f>IFERROR(VLOOKUP($D20,Total_DU!$B$5:$AB$174,27,0),0)</f>
        <v>0</v>
      </c>
      <c r="Z20" s="178">
        <f>IFERROR(VLOOKUP($D20,Population!$B$5:$AA$175,23,FALSE),0)</f>
        <v>0</v>
      </c>
      <c r="AA20" s="178">
        <f>IFERROR(VLOOKUP($D20,Population!$B$5:$AA$175,24,FALSE),0)</f>
        <v>0</v>
      </c>
      <c r="AB20" s="178">
        <f>IFERROR(VLOOKUP($D20,Population!$B$5:$AA$175,25,FALSE),0)</f>
        <v>0</v>
      </c>
      <c r="AC20" s="178">
        <f>IFERROR(VLOOKUP($D20,Population!$B$5:$AA$175,26,FALSE),0)</f>
        <v>0</v>
      </c>
    </row>
    <row r="21" spans="1:29" x14ac:dyDescent="0.2">
      <c r="A21" s="1" t="s">
        <v>355</v>
      </c>
      <c r="B21" s="1" t="s">
        <v>366</v>
      </c>
      <c r="C21" s="1" t="s">
        <v>361</v>
      </c>
      <c r="D21" s="1">
        <v>2842</v>
      </c>
      <c r="E21" s="1">
        <v>2024</v>
      </c>
      <c r="F21" s="175">
        <f>VLOOKUP($D21,'2024Data to Complete Appendix C'!$C$8:$Q$313,2,FALSE)</f>
        <v>20040</v>
      </c>
      <c r="G21" s="175">
        <f>VLOOKUP($D21,'2024Data to Complete Appendix C'!$C$8:$Q$313,3,FALSE)</f>
        <v>8377</v>
      </c>
      <c r="H21" s="175">
        <f>VLOOKUP($D21,'2024Data to Complete Appendix C'!$C$8:$Q$313,4,FALSE)</f>
        <v>46</v>
      </c>
      <c r="I21" s="175">
        <f>VLOOKUP($D21,'2024Data to Complete Appendix C'!$C$8:$Q$313,5,FALSE)</f>
        <v>9109</v>
      </c>
      <c r="J21" s="176">
        <f>VLOOKUP($D21,'2024Data to Complete Appendix C'!$C$8:$Q$313,6,FALSE)</f>
        <v>2.3922599999999998</v>
      </c>
      <c r="K21" s="176">
        <f>VLOOKUP($D21,'2024Data to Complete Appendix C'!$C$8:$Q$313,7,FALSE)</f>
        <v>1.95</v>
      </c>
      <c r="L21" s="176">
        <f>VLOOKUP($D21,'2024Data to Complete Appendix C'!$C$8:$Q$313,8,FALSE)</f>
        <v>1.0406200000000001</v>
      </c>
      <c r="M21" s="175">
        <f>VLOOKUP($D21,'2024Data to Complete Appendix C'!$C$8:$Q$313,9,FALSE)</f>
        <v>417.44600000000003</v>
      </c>
      <c r="N21" s="176">
        <f>VLOOKUP($D21,'2024Data to Complete Appendix C'!$C$8:$Q$313,10,FALSE)</f>
        <v>4.7467000000000002E-2</v>
      </c>
      <c r="O21" s="177">
        <f>VLOOKUP($D21,'2024Data to Complete Appendix C'!$C$8:$Q$313,11,FALSE)</f>
        <v>0.56699999999999995</v>
      </c>
      <c r="P21" s="177">
        <f>VLOOKUP($D21,'2024Data to Complete Appendix C'!$C$8:$Q$313,12,FALSE)</f>
        <v>0.77268000000000003</v>
      </c>
      <c r="Q21" s="177">
        <f>VLOOKUP($D21,'2024Data to Complete Appendix C'!$C$8:$Q$313,13,FALSE)</f>
        <v>0.59446223099999995</v>
      </c>
      <c r="R21" s="176">
        <f>VLOOKUP($D21,'2024Data to Complete Appendix C'!$C$8:$Q$313,14,FALSE)</f>
        <v>2.2999999999999998</v>
      </c>
      <c r="S21" s="177">
        <f>VLOOKUP($D21,'2024Data to Complete Appendix C'!$C$8:$Q$313,15,FALSE)</f>
        <v>-0.37138599999999999</v>
      </c>
      <c r="T21" s="175">
        <f>IFERROR(VLOOKUP($D21,'2024_Lodging_by_WUP'!$A:$D,4,FALSE),0)</f>
        <v>15</v>
      </c>
      <c r="U21" s="175">
        <f t="shared" si="0"/>
        <v>20.508946969499998</v>
      </c>
      <c r="V21" s="178">
        <f>IFERROR(VLOOKUP($D21,Total_DU!$B$5:$AB$171,24,0),0)</f>
        <v>8346</v>
      </c>
      <c r="W21" s="178">
        <f>IFERROR(VLOOKUP($D21,Total_DU!$B$5:$AB$174,25,0),0)</f>
        <v>8912</v>
      </c>
      <c r="X21" s="178">
        <f>IFERROR(VLOOKUP($D21,Total_DU!$B$5:$AB$174,26,0),0)</f>
        <v>9657</v>
      </c>
      <c r="Y21" s="178">
        <f>IFERROR(VLOOKUP($D21,Total_DU!$B$5:$AB$174,27,0),0)</f>
        <v>10255</v>
      </c>
      <c r="Z21" s="178">
        <f>IFERROR(VLOOKUP($D21,Population!$B$5:$AA$175,23,FALSE),0)</f>
        <v>19805.672442450697</v>
      </c>
      <c r="AA21" s="178">
        <f>IFERROR(VLOOKUP($D21,Population!$B$5:$AA$175,24,FALSE),0)</f>
        <v>21150</v>
      </c>
      <c r="AB21" s="178">
        <f>IFERROR(VLOOKUP($D21,Population!$B$5:$AA$175,25,FALSE),0)</f>
        <v>22907</v>
      </c>
      <c r="AC21" s="178">
        <f>IFERROR(VLOOKUP($D21,Population!$B$5:$AA$175,26,FALSE),0)</f>
        <v>23979.96200993704</v>
      </c>
    </row>
    <row r="22" spans="1:29" x14ac:dyDescent="0.2">
      <c r="A22" s="1" t="s">
        <v>355</v>
      </c>
      <c r="B22" s="1" t="s">
        <v>367</v>
      </c>
      <c r="C22" s="1" t="s">
        <v>368</v>
      </c>
      <c r="D22" s="1">
        <v>4008</v>
      </c>
      <c r="E22" s="1">
        <v>2024</v>
      </c>
      <c r="F22" s="175">
        <f>VLOOKUP($D22,'2024Data to Complete Appendix C'!$C$8:$Q$313,2,FALSE)</f>
        <v>204</v>
      </c>
      <c r="G22" s="175">
        <f>VLOOKUP($D22,'2024Data to Complete Appendix C'!$C$8:$Q$313,3,FALSE)</f>
        <v>133</v>
      </c>
      <c r="H22" s="175">
        <f>VLOOKUP($D22,'2024Data to Complete Appendix C'!$C$8:$Q$313,4,FALSE)</f>
        <v>0</v>
      </c>
      <c r="I22" s="175">
        <f>VLOOKUP($D22,'2024Data to Complete Appendix C'!$C$8:$Q$313,5,FALSE)</f>
        <v>139</v>
      </c>
      <c r="J22" s="176">
        <f>VLOOKUP($D22,'2024Data to Complete Appendix C'!$C$8:$Q$313,6,FALSE)</f>
        <v>1.53383</v>
      </c>
      <c r="K22" s="176">
        <f>VLOOKUP($D22,'2024Data to Complete Appendix C'!$C$8:$Q$313,7,FALSE)</f>
        <v>1.95</v>
      </c>
      <c r="L22" s="176">
        <f>VLOOKUP($D22,'2024Data to Complete Appendix C'!$C$8:$Q$313,8,FALSE)</f>
        <v>1.06955</v>
      </c>
      <c r="M22" s="175">
        <f>VLOOKUP($D22,'2024Data to Complete Appendix C'!$C$8:$Q$313,9,FALSE)</f>
        <v>7.2762399999999996</v>
      </c>
      <c r="N22" s="176">
        <f>VLOOKUP($D22,'2024Data to Complete Appendix C'!$C$8:$Q$313,10,FALSE)</f>
        <v>5.1870800000000002E-2</v>
      </c>
      <c r="O22" s="177">
        <f>VLOOKUP($D22,'2024Data to Complete Appendix C'!$C$8:$Q$313,11,FALSE)</f>
        <v>0.56699999999999995</v>
      </c>
      <c r="P22" s="177">
        <f>VLOOKUP($D22,'2024Data to Complete Appendix C'!$C$8:$Q$313,12,FALSE)</f>
        <v>0.77268000000000003</v>
      </c>
      <c r="Q22" s="177">
        <f>VLOOKUP($D22,'2024Data to Complete Appendix C'!$C$8:$Q$313,13,FALSE)</f>
        <v>0.59446223099999995</v>
      </c>
      <c r="R22" s="176">
        <f>VLOOKUP($D22,'2024Data to Complete Appendix C'!$C$8:$Q$313,14,FALSE)</f>
        <v>2.2999999999999998</v>
      </c>
      <c r="S22" s="177">
        <f>VLOOKUP($D22,'2024Data to Complete Appendix C'!$C$8:$Q$313,15,FALSE)</f>
        <v>0.110862</v>
      </c>
      <c r="T22" s="175">
        <f>IFERROR(VLOOKUP($D22,'2024_Lodging_by_WUP'!$A:$D,4,FALSE),0)</f>
        <v>0</v>
      </c>
      <c r="U22" s="175">
        <f t="shared" si="0"/>
        <v>0</v>
      </c>
      <c r="V22" s="178">
        <f>IFERROR(VLOOKUP($D22,Total_DU!$B$5:$AB$171,24,0),0)</f>
        <v>0</v>
      </c>
      <c r="W22" s="178">
        <f>IFERROR(VLOOKUP($D22,Total_DU!$B$5:$AB$174,25,0),0)</f>
        <v>0</v>
      </c>
      <c r="X22" s="178">
        <f>IFERROR(VLOOKUP($D22,Total_DU!$B$5:$AB$174,26,0),0)</f>
        <v>0</v>
      </c>
      <c r="Y22" s="178">
        <f>IFERROR(VLOOKUP($D22,Total_DU!$B$5:$AB$174,27,0),0)</f>
        <v>0</v>
      </c>
      <c r="Z22" s="178">
        <f>IFERROR(VLOOKUP($D22,Population!$B$5:$AA$175,23,FALSE),0)</f>
        <v>0</v>
      </c>
      <c r="AA22" s="178">
        <f>IFERROR(VLOOKUP($D22,Population!$B$5:$AA$175,24,FALSE),0)</f>
        <v>0</v>
      </c>
      <c r="AB22" s="178">
        <f>IFERROR(VLOOKUP($D22,Population!$B$5:$AA$175,25,FALSE),0)</f>
        <v>0</v>
      </c>
      <c r="AC22" s="178">
        <f>IFERROR(VLOOKUP($D22,Population!$B$5:$AA$175,26,FALSE),0)</f>
        <v>0</v>
      </c>
    </row>
    <row r="23" spans="1:29" x14ac:dyDescent="0.2">
      <c r="A23" s="1" t="s">
        <v>355</v>
      </c>
      <c r="B23" s="1" t="s">
        <v>369</v>
      </c>
      <c r="C23" s="1" t="s">
        <v>370</v>
      </c>
      <c r="D23" s="1">
        <v>4153</v>
      </c>
      <c r="E23" s="1">
        <v>2024</v>
      </c>
      <c r="F23" s="175">
        <f>VLOOKUP($D23,'2024Data to Complete Appendix C'!$C$8:$Q$313,2,FALSE)</f>
        <v>12076</v>
      </c>
      <c r="G23" s="175">
        <f>VLOOKUP($D23,'2024Data to Complete Appendix C'!$C$8:$Q$313,3,FALSE)</f>
        <v>5764</v>
      </c>
      <c r="H23" s="175">
        <f>VLOOKUP($D23,'2024Data to Complete Appendix C'!$C$8:$Q$313,4,FALSE)</f>
        <v>23</v>
      </c>
      <c r="I23" s="175">
        <f>VLOOKUP($D23,'2024Data to Complete Appendix C'!$C$8:$Q$313,5,FALSE)</f>
        <v>6392</v>
      </c>
      <c r="J23" s="176">
        <f>VLOOKUP($D23,'2024Data to Complete Appendix C'!$C$8:$Q$313,6,FALSE)</f>
        <v>2.0950700000000002</v>
      </c>
      <c r="K23" s="176">
        <f>VLOOKUP($D23,'2024Data to Complete Appendix C'!$C$8:$Q$313,7,FALSE)</f>
        <v>1.95</v>
      </c>
      <c r="L23" s="176">
        <f>VLOOKUP($D23,'2024Data to Complete Appendix C'!$C$8:$Q$313,8,FALSE)</f>
        <v>1.05661</v>
      </c>
      <c r="M23" s="175">
        <f>VLOOKUP($D23,'2024Data to Complete Appendix C'!$C$8:$Q$313,9,FALSE)</f>
        <v>350.59199999999998</v>
      </c>
      <c r="N23" s="176">
        <f>VLOOKUP($D23,'2024Data to Complete Appendix C'!$C$8:$Q$313,10,FALSE)</f>
        <v>5.7336900000000003E-2</v>
      </c>
      <c r="O23" s="177">
        <f>VLOOKUP($D23,'2024Data to Complete Appendix C'!$C$8:$Q$313,11,FALSE)</f>
        <v>0.56699999999999995</v>
      </c>
      <c r="P23" s="177">
        <f>VLOOKUP($D23,'2024Data to Complete Appendix C'!$C$8:$Q$313,12,FALSE)</f>
        <v>0.77268000000000003</v>
      </c>
      <c r="Q23" s="177">
        <f>VLOOKUP($D23,'2024Data to Complete Appendix C'!$C$8:$Q$313,13,FALSE)</f>
        <v>0.59446223099999995</v>
      </c>
      <c r="R23" s="176">
        <f>VLOOKUP($D23,'2024Data to Complete Appendix C'!$C$8:$Q$313,14,FALSE)</f>
        <v>2.2999999999999998</v>
      </c>
      <c r="S23" s="177">
        <f>VLOOKUP($D23,'2024Data to Complete Appendix C'!$C$8:$Q$313,15,FALSE)</f>
        <v>-0.329924</v>
      </c>
      <c r="T23" s="175">
        <f>IFERROR(VLOOKUP($D23,'2024_Lodging_by_WUP'!$A:$D,4,FALSE),0)</f>
        <v>11</v>
      </c>
      <c r="U23" s="175">
        <f t="shared" si="0"/>
        <v>15.039894444299998</v>
      </c>
      <c r="V23" s="178">
        <f>IFERROR(VLOOKUP($D23,Total_DU!$B$5:$AB$171,24,0),0)</f>
        <v>5737</v>
      </c>
      <c r="W23" s="178">
        <f>IFERROR(VLOOKUP($D23,Total_DU!$B$5:$AB$174,25,0),0)</f>
        <v>5888</v>
      </c>
      <c r="X23" s="178">
        <f>IFERROR(VLOOKUP($D23,Total_DU!$B$5:$AB$174,26,0),0)</f>
        <v>5951</v>
      </c>
      <c r="Y23" s="178">
        <f>IFERROR(VLOOKUP($D23,Total_DU!$B$5:$AB$174,27,0),0)</f>
        <v>6023</v>
      </c>
      <c r="Z23" s="178">
        <f>IFERROR(VLOOKUP($D23,Population!$B$5:$AA$175,23,FALSE),0)</f>
        <v>11548.33651288406</v>
      </c>
      <c r="AA23" s="178">
        <f>IFERROR(VLOOKUP($D23,Population!$B$5:$AA$175,24,FALSE),0)</f>
        <v>11856</v>
      </c>
      <c r="AB23" s="178">
        <f>IFERROR(VLOOKUP($D23,Population!$B$5:$AA$175,25,FALSE),0)</f>
        <v>11978</v>
      </c>
      <c r="AC23" s="178">
        <f>IFERROR(VLOOKUP($D23,Population!$B$5:$AA$175,26,FALSE),0)</f>
        <v>12437.112957588497</v>
      </c>
    </row>
    <row r="24" spans="1:29" x14ac:dyDescent="0.2">
      <c r="A24" s="1" t="s">
        <v>355</v>
      </c>
      <c r="B24" s="1" t="s">
        <v>371</v>
      </c>
      <c r="C24" s="1" t="s">
        <v>372</v>
      </c>
      <c r="D24" s="1">
        <v>4406</v>
      </c>
      <c r="E24" s="1">
        <v>2024</v>
      </c>
      <c r="F24" s="175">
        <f>VLOOKUP($D24,'2024Data to Complete Appendix C'!$C$8:$Q$313,2,FALSE)</f>
        <v>6667</v>
      </c>
      <c r="G24" s="175">
        <f>VLOOKUP($D24,'2024Data to Complete Appendix C'!$C$8:$Q$313,3,FALSE)</f>
        <v>3237</v>
      </c>
      <c r="H24" s="175">
        <f>VLOOKUP($D24,'2024Data to Complete Appendix C'!$C$8:$Q$313,4,FALSE)</f>
        <v>167</v>
      </c>
      <c r="I24" s="175">
        <f>VLOOKUP($D24,'2024Data to Complete Appendix C'!$C$8:$Q$313,5,FALSE)</f>
        <v>4486</v>
      </c>
      <c r="J24" s="176">
        <f>VLOOKUP($D24,'2024Data to Complete Appendix C'!$C$8:$Q$313,6,FALSE)</f>
        <v>2.0596199999999998</v>
      </c>
      <c r="K24" s="176">
        <f>VLOOKUP($D24,'2024Data to Complete Appendix C'!$C$8:$Q$313,7,FALSE)</f>
        <v>1.95</v>
      </c>
      <c r="L24" s="176">
        <f>VLOOKUP($D24,'2024Data to Complete Appendix C'!$C$8:$Q$313,8,FALSE)</f>
        <v>1.1372199999999999</v>
      </c>
      <c r="M24" s="175">
        <f>VLOOKUP($D24,'2024Data to Complete Appendix C'!$C$8:$Q$313,9,FALSE)</f>
        <v>469.13600000000002</v>
      </c>
      <c r="N24" s="176">
        <f>VLOOKUP($D24,'2024Data to Complete Appendix C'!$C$8:$Q$313,10,FALSE)</f>
        <v>0.126584</v>
      </c>
      <c r="O24" s="177">
        <f>VLOOKUP($D24,'2024Data to Complete Appendix C'!$C$8:$Q$313,11,FALSE)</f>
        <v>0.56699999999999995</v>
      </c>
      <c r="P24" s="177">
        <f>VLOOKUP($D24,'2024Data to Complete Appendix C'!$C$8:$Q$313,12,FALSE)</f>
        <v>0.77268000000000003</v>
      </c>
      <c r="Q24" s="177">
        <f>VLOOKUP($D24,'2024Data to Complete Appendix C'!$C$8:$Q$313,13,FALSE)</f>
        <v>0.59446223099999995</v>
      </c>
      <c r="R24" s="176">
        <f>VLOOKUP($D24,'2024Data to Complete Appendix C'!$C$8:$Q$313,14,FALSE)</f>
        <v>2.2999999999999998</v>
      </c>
      <c r="S24" s="177">
        <f>VLOOKUP($D24,'2024Data to Complete Appendix C'!$C$8:$Q$313,15,FALSE)</f>
        <v>0.449075</v>
      </c>
      <c r="T24" s="175">
        <f>IFERROR(VLOOKUP($D24,'2024_Lodging_by_WUP'!$A:$D,4,FALSE),0)</f>
        <v>285</v>
      </c>
      <c r="U24" s="175">
        <f t="shared" si="0"/>
        <v>389.66999242049997</v>
      </c>
      <c r="V24" s="178">
        <f>IFERROR(VLOOKUP($D24,Total_DU!$B$5:$AB$171,24,0),0)</f>
        <v>2513</v>
      </c>
      <c r="W24" s="178">
        <f>IFERROR(VLOOKUP($D24,Total_DU!$B$5:$AB$174,25,0),0)</f>
        <v>2537</v>
      </c>
      <c r="X24" s="178">
        <f>IFERROR(VLOOKUP($D24,Total_DU!$B$5:$AB$174,26,0),0)</f>
        <v>2574</v>
      </c>
      <c r="Y24" s="178">
        <f>IFERROR(VLOOKUP($D24,Total_DU!$B$5:$AB$174,27,0),0)</f>
        <v>2685</v>
      </c>
      <c r="Z24" s="178">
        <f>IFERROR(VLOOKUP($D24,Population!$B$5:$AA$175,23,FALSE),0)</f>
        <v>5802.196827144262</v>
      </c>
      <c r="AA24" s="178">
        <f>IFERROR(VLOOKUP($D24,Population!$B$5:$AA$175,24,FALSE),0)</f>
        <v>5829</v>
      </c>
      <c r="AB24" s="178">
        <f>IFERROR(VLOOKUP($D24,Population!$B$5:$AA$175,25,FALSE),0)</f>
        <v>5956</v>
      </c>
      <c r="AC24" s="178">
        <f>IFERROR(VLOOKUP($D24,Population!$B$5:$AA$175,26,FALSE),0)</f>
        <v>5747.8064797652123</v>
      </c>
    </row>
    <row r="25" spans="1:29" x14ac:dyDescent="0.2">
      <c r="A25" s="1" t="s">
        <v>355</v>
      </c>
      <c r="B25" s="1" t="s">
        <v>373</v>
      </c>
      <c r="C25" s="1" t="s">
        <v>374</v>
      </c>
      <c r="D25" s="1">
        <v>4753</v>
      </c>
      <c r="E25" s="1">
        <v>2024</v>
      </c>
      <c r="F25" s="175">
        <f>VLOOKUP($D25,'2024Data to Complete Appendix C'!$C$8:$Q$313,2,FALSE)</f>
        <v>1192</v>
      </c>
      <c r="G25" s="175">
        <f>VLOOKUP($D25,'2024Data to Complete Appendix C'!$C$8:$Q$313,3,FALSE)</f>
        <v>536</v>
      </c>
      <c r="H25" s="175">
        <f>VLOOKUP($D25,'2024Data to Complete Appendix C'!$C$8:$Q$313,4,FALSE)</f>
        <v>9</v>
      </c>
      <c r="I25" s="175">
        <f>VLOOKUP($D25,'2024Data to Complete Appendix C'!$C$8:$Q$313,5,FALSE)</f>
        <v>579</v>
      </c>
      <c r="J25" s="176">
        <f>VLOOKUP($D25,'2024Data to Complete Appendix C'!$C$8:$Q$313,6,FALSE)</f>
        <v>2.2238799999999999</v>
      </c>
      <c r="K25" s="176">
        <f>VLOOKUP($D25,'2024Data to Complete Appendix C'!$C$8:$Q$313,7,FALSE)</f>
        <v>1.95</v>
      </c>
      <c r="L25" s="176">
        <f>VLOOKUP($D25,'2024Data to Complete Appendix C'!$C$8:$Q$313,8,FALSE)</f>
        <v>1.1082099999999999</v>
      </c>
      <c r="M25" s="175">
        <f>VLOOKUP($D25,'2024Data to Complete Appendix C'!$C$8:$Q$313,9,FALSE)</f>
        <v>66.146000000000001</v>
      </c>
      <c r="N25" s="176">
        <f>VLOOKUP($D25,'2024Data to Complete Appendix C'!$C$8:$Q$313,10,FALSE)</f>
        <v>0.10985</v>
      </c>
      <c r="O25" s="177">
        <f>VLOOKUP($D25,'2024Data to Complete Appendix C'!$C$8:$Q$313,11,FALSE)</f>
        <v>0.56699999999999995</v>
      </c>
      <c r="P25" s="177">
        <f>VLOOKUP($D25,'2024Data to Complete Appendix C'!$C$8:$Q$313,12,FALSE)</f>
        <v>0.77268000000000003</v>
      </c>
      <c r="Q25" s="177">
        <f>VLOOKUP($D25,'2024Data to Complete Appendix C'!$C$8:$Q$313,13,FALSE)</f>
        <v>0.59446223099999995</v>
      </c>
      <c r="R25" s="176">
        <f>VLOOKUP($D25,'2024Data to Complete Appendix C'!$C$8:$Q$313,14,FALSE)</f>
        <v>2.2999999999999998</v>
      </c>
      <c r="S25" s="177">
        <f>VLOOKUP($D25,'2024Data to Complete Appendix C'!$C$8:$Q$313,15,FALSE)</f>
        <v>-0.32434499999999999</v>
      </c>
      <c r="T25" s="175">
        <f>IFERROR(VLOOKUP($D25,'2024_Lodging_by_WUP'!$A:$D,4,FALSE),0)</f>
        <v>1</v>
      </c>
      <c r="U25" s="175">
        <f t="shared" si="0"/>
        <v>1.3672631312999999</v>
      </c>
      <c r="V25" s="178">
        <f>IFERROR(VLOOKUP($D25,Total_DU!$B$5:$AB$171,24,0),0)</f>
        <v>0</v>
      </c>
      <c r="W25" s="178">
        <f>IFERROR(VLOOKUP($D25,Total_DU!$B$5:$AB$174,25,0),0)</f>
        <v>0</v>
      </c>
      <c r="X25" s="178">
        <f>IFERROR(VLOOKUP($D25,Total_DU!$B$5:$AB$174,26,0),0)</f>
        <v>0</v>
      </c>
      <c r="Y25" s="178">
        <f>IFERROR(VLOOKUP($D25,Total_DU!$B$5:$AB$174,27,0),0)</f>
        <v>0</v>
      </c>
      <c r="Z25" s="178">
        <f>IFERROR(VLOOKUP($D25,Population!$B$5:$AA$175,23,FALSE),0)</f>
        <v>0</v>
      </c>
      <c r="AA25" s="178">
        <f>IFERROR(VLOOKUP($D25,Population!$B$5:$AA$175,24,FALSE),0)</f>
        <v>0</v>
      </c>
      <c r="AB25" s="178">
        <f>IFERROR(VLOOKUP($D25,Population!$B$5:$AA$175,25,FALSE),0)</f>
        <v>0</v>
      </c>
      <c r="AC25" s="178">
        <f>IFERROR(VLOOKUP($D25,Population!$B$5:$AA$175,26,FALSE),0)</f>
        <v>0</v>
      </c>
    </row>
    <row r="26" spans="1:29" x14ac:dyDescent="0.2">
      <c r="A26" s="1" t="s">
        <v>355</v>
      </c>
      <c r="B26" s="1" t="s">
        <v>375</v>
      </c>
      <c r="C26" s="1" t="s">
        <v>376</v>
      </c>
      <c r="D26" s="1">
        <v>6691</v>
      </c>
      <c r="E26" s="1">
        <v>2024</v>
      </c>
      <c r="F26" s="175">
        <f>VLOOKUP($D26,'2024Data to Complete Appendix C'!$C$8:$Q$313,2,FALSE)</f>
        <v>1536</v>
      </c>
      <c r="G26" s="175">
        <f>VLOOKUP($D26,'2024Data to Complete Appendix C'!$C$8:$Q$313,3,FALSE)</f>
        <v>749</v>
      </c>
      <c r="H26" s="175">
        <f>VLOOKUP($D26,'2024Data to Complete Appendix C'!$C$8:$Q$313,4,FALSE)</f>
        <v>0</v>
      </c>
      <c r="I26" s="175">
        <f>VLOOKUP($D26,'2024Data to Complete Appendix C'!$C$8:$Q$313,5,FALSE)</f>
        <v>864</v>
      </c>
      <c r="J26" s="176">
        <f>VLOOKUP($D26,'2024Data to Complete Appendix C'!$C$8:$Q$313,6,FALSE)</f>
        <v>2.0507300000000002</v>
      </c>
      <c r="K26" s="176">
        <f>VLOOKUP($D26,'2024Data to Complete Appendix C'!$C$8:$Q$313,7,FALSE)</f>
        <v>1.95</v>
      </c>
      <c r="L26" s="176">
        <f>VLOOKUP($D26,'2024Data to Complete Appendix C'!$C$8:$Q$313,8,FALSE)</f>
        <v>1.0934200000000001</v>
      </c>
      <c r="M26" s="175">
        <f>VLOOKUP($D26,'2024Data to Complete Appendix C'!$C$8:$Q$313,9,FALSE)</f>
        <v>73.584500000000006</v>
      </c>
      <c r="N26" s="176">
        <f>VLOOKUP($D26,'2024Data to Complete Appendix C'!$C$8:$Q$313,10,FALSE)</f>
        <v>8.9455300000000001E-2</v>
      </c>
      <c r="O26" s="177">
        <f>VLOOKUP($D26,'2024Data to Complete Appendix C'!$C$8:$Q$313,11,FALSE)</f>
        <v>0.56699999999999995</v>
      </c>
      <c r="P26" s="177">
        <f>VLOOKUP($D26,'2024Data to Complete Appendix C'!$C$8:$Q$313,12,FALSE)</f>
        <v>0.77268000000000003</v>
      </c>
      <c r="Q26" s="177">
        <f>VLOOKUP($D26,'2024Data to Complete Appendix C'!$C$8:$Q$313,13,FALSE)</f>
        <v>0.59446223099999995</v>
      </c>
      <c r="R26" s="176">
        <f>VLOOKUP($D26,'2024Data to Complete Appendix C'!$C$8:$Q$313,14,FALSE)</f>
        <v>2.2999999999999998</v>
      </c>
      <c r="S26" s="177">
        <f>VLOOKUP($D26,'2024Data to Complete Appendix C'!$C$8:$Q$313,15,FALSE)</f>
        <v>-0.27404600000000001</v>
      </c>
      <c r="T26" s="175">
        <f>IFERROR(VLOOKUP($D26,'2024_Lodging_by_WUP'!$A:$D,4,FALSE),0)</f>
        <v>0</v>
      </c>
      <c r="U26" s="175">
        <f t="shared" si="0"/>
        <v>0</v>
      </c>
      <c r="V26" s="178">
        <f>IFERROR(VLOOKUP($D26,Total_DU!$B$5:$AB$171,24,0),0)</f>
        <v>281</v>
      </c>
      <c r="W26" s="178">
        <f>IFERROR(VLOOKUP($D26,Total_DU!$B$5:$AB$174,25,0),0)</f>
        <v>283</v>
      </c>
      <c r="X26" s="178">
        <f>IFERROR(VLOOKUP($D26,Total_DU!$B$5:$AB$174,26,0),0)</f>
        <v>284</v>
      </c>
      <c r="Y26" s="178">
        <f>IFERROR(VLOOKUP($D26,Total_DU!$B$5:$AB$174,27,0),0)</f>
        <v>286</v>
      </c>
      <c r="Z26" s="178">
        <f>IFERROR(VLOOKUP($D26,Population!$B$5:$AA$175,23,FALSE),0)</f>
        <v>584.77641873849348</v>
      </c>
      <c r="AA26" s="178">
        <f>IFERROR(VLOOKUP($D26,Population!$B$5:$AA$175,24,FALSE),0)</f>
        <v>589</v>
      </c>
      <c r="AB26" s="178">
        <f>IFERROR(VLOOKUP($D26,Population!$B$5:$AA$175,25,FALSE),0)</f>
        <v>591</v>
      </c>
      <c r="AC26" s="178">
        <f>IFERROR(VLOOKUP($D26,Population!$B$5:$AA$175,26,FALSE),0)</f>
        <v>572.59173784317181</v>
      </c>
    </row>
    <row r="27" spans="1:29" x14ac:dyDescent="0.2">
      <c r="A27" s="1" t="s">
        <v>355</v>
      </c>
      <c r="B27" s="1" t="s">
        <v>377</v>
      </c>
      <c r="C27" s="1" t="s">
        <v>361</v>
      </c>
      <c r="D27" s="1">
        <v>7121</v>
      </c>
      <c r="E27" s="1">
        <v>2024</v>
      </c>
      <c r="F27" s="175">
        <f>VLOOKUP($D27,'2024Data to Complete Appendix C'!$C$8:$Q$313,2,FALSE)</f>
        <v>30977</v>
      </c>
      <c r="G27" s="175">
        <f>VLOOKUP($D27,'2024Data to Complete Appendix C'!$C$8:$Q$313,3,FALSE)</f>
        <v>14861</v>
      </c>
      <c r="H27" s="175">
        <f>VLOOKUP($D27,'2024Data to Complete Appendix C'!$C$8:$Q$313,4,FALSE)</f>
        <v>1826</v>
      </c>
      <c r="I27" s="175">
        <f>VLOOKUP($D27,'2024Data to Complete Appendix C'!$C$8:$Q$313,5,FALSE)</f>
        <v>17129</v>
      </c>
      <c r="J27" s="176">
        <f>VLOOKUP($D27,'2024Data to Complete Appendix C'!$C$8:$Q$313,6,FALSE)</f>
        <v>2.0844499999999999</v>
      </c>
      <c r="K27" s="176">
        <f>VLOOKUP($D27,'2024Data to Complete Appendix C'!$C$8:$Q$313,7,FALSE)</f>
        <v>1.95</v>
      </c>
      <c r="L27" s="176">
        <f>VLOOKUP($D27,'2024Data to Complete Appendix C'!$C$8:$Q$313,8,FALSE)</f>
        <v>1.0728899999999999</v>
      </c>
      <c r="M27" s="175">
        <f>VLOOKUP($D27,'2024Data to Complete Appendix C'!$C$8:$Q$313,9,FALSE)</f>
        <v>1157.8800000000001</v>
      </c>
      <c r="N27" s="176">
        <f>VLOOKUP($D27,'2024Data to Complete Appendix C'!$C$8:$Q$313,10,FALSE)</f>
        <v>7.2281999999999999E-2</v>
      </c>
      <c r="O27" s="177">
        <f>VLOOKUP($D27,'2024Data to Complete Appendix C'!$C$8:$Q$313,11,FALSE)</f>
        <v>0.56699999999999995</v>
      </c>
      <c r="P27" s="177">
        <f>VLOOKUP($D27,'2024Data to Complete Appendix C'!$C$8:$Q$313,12,FALSE)</f>
        <v>0.77268000000000003</v>
      </c>
      <c r="Q27" s="177">
        <f>VLOOKUP($D27,'2024Data to Complete Appendix C'!$C$8:$Q$313,13,FALSE)</f>
        <v>0.59446223099999995</v>
      </c>
      <c r="R27" s="176">
        <f>VLOOKUP($D27,'2024Data to Complete Appendix C'!$C$8:$Q$313,14,FALSE)</f>
        <v>2.2999999999999998</v>
      </c>
      <c r="S27" s="177">
        <f>VLOOKUP($D27,'2024Data to Complete Appendix C'!$C$8:$Q$313,15,FALSE)</f>
        <v>0.17067599999999999</v>
      </c>
      <c r="T27" s="175">
        <f>IFERROR(VLOOKUP($D27,'2024_Lodging_by_WUP'!$A:$D,4,FALSE),0)</f>
        <v>141</v>
      </c>
      <c r="U27" s="175">
        <f t="shared" si="0"/>
        <v>192.78410151329996</v>
      </c>
      <c r="V27" s="178">
        <f>IFERROR(VLOOKUP($D27,Total_DU!$B$5:$AB$171,24,0),0)</f>
        <v>11816</v>
      </c>
      <c r="W27" s="178">
        <f>IFERROR(VLOOKUP($D27,Total_DU!$B$5:$AB$174,25,0),0)</f>
        <v>12876</v>
      </c>
      <c r="X27" s="178">
        <f>IFERROR(VLOOKUP($D27,Total_DU!$B$5:$AB$174,26,0),0)</f>
        <v>12926</v>
      </c>
      <c r="Y27" s="178">
        <f>IFERROR(VLOOKUP($D27,Total_DU!$B$5:$AB$174,27,0),0)</f>
        <v>13372</v>
      </c>
      <c r="Z27" s="178">
        <f>IFERROR(VLOOKUP($D27,Population!$B$5:$AA$175,23,FALSE),0)</f>
        <v>26241.129516884212</v>
      </c>
      <c r="AA27" s="178">
        <f>IFERROR(VLOOKUP($D27,Population!$B$5:$AA$175,24,FALSE),0)</f>
        <v>28550</v>
      </c>
      <c r="AB27" s="178">
        <f>IFERROR(VLOOKUP($D27,Population!$B$5:$AA$175,25,FALSE),0)</f>
        <v>28656</v>
      </c>
      <c r="AC27" s="178">
        <f>IFERROR(VLOOKUP($D27,Population!$B$5:$AA$175,26,FALSE),0)</f>
        <v>29283.73746724418</v>
      </c>
    </row>
    <row r="28" spans="1:29" x14ac:dyDescent="0.2">
      <c r="A28" s="1" t="s">
        <v>355</v>
      </c>
      <c r="B28" s="1" t="s">
        <v>378</v>
      </c>
      <c r="C28" s="1" t="s">
        <v>361</v>
      </c>
      <c r="D28" s="1">
        <v>7295</v>
      </c>
      <c r="E28" s="1">
        <v>2024</v>
      </c>
      <c r="F28" s="175">
        <f>VLOOKUP($D28,'2024Data to Complete Appendix C'!$C$8:$Q$313,2,FALSE)</f>
        <v>377</v>
      </c>
      <c r="G28" s="175">
        <f>VLOOKUP($D28,'2024Data to Complete Appendix C'!$C$8:$Q$313,3,FALSE)</f>
        <v>149</v>
      </c>
      <c r="H28" s="175">
        <f>VLOOKUP($D28,'2024Data to Complete Appendix C'!$C$8:$Q$313,4,FALSE)</f>
        <v>0</v>
      </c>
      <c r="I28" s="175">
        <f>VLOOKUP($D28,'2024Data to Complete Appendix C'!$C$8:$Q$313,5,FALSE)</f>
        <v>177</v>
      </c>
      <c r="J28" s="176">
        <f>VLOOKUP($D28,'2024Data to Complete Appendix C'!$C$8:$Q$313,6,FALSE)</f>
        <v>2.5301999999999998</v>
      </c>
      <c r="K28" s="176">
        <f>VLOOKUP($D28,'2024Data to Complete Appendix C'!$C$8:$Q$313,7,FALSE)</f>
        <v>1.95</v>
      </c>
      <c r="L28" s="176">
        <f>VLOOKUP($D28,'2024Data to Complete Appendix C'!$C$8:$Q$313,8,FALSE)</f>
        <v>1.07694</v>
      </c>
      <c r="M28" s="175">
        <f>VLOOKUP($D28,'2024Data to Complete Appendix C'!$C$8:$Q$313,9,FALSE)</f>
        <v>14.875299999999999</v>
      </c>
      <c r="N28" s="176">
        <f>VLOOKUP($D28,'2024Data to Complete Appendix C'!$C$8:$Q$313,10,FALSE)</f>
        <v>9.0771900000000003E-2</v>
      </c>
      <c r="O28" s="177">
        <f>VLOOKUP($D28,'2024Data to Complete Appendix C'!$C$8:$Q$313,11,FALSE)</f>
        <v>0.56699999999999995</v>
      </c>
      <c r="P28" s="177">
        <f>VLOOKUP($D28,'2024Data to Complete Appendix C'!$C$8:$Q$313,12,FALSE)</f>
        <v>0.77268000000000003</v>
      </c>
      <c r="Q28" s="177">
        <f>VLOOKUP($D28,'2024Data to Complete Appendix C'!$C$8:$Q$313,13,FALSE)</f>
        <v>0.59446223099999995</v>
      </c>
      <c r="R28" s="176">
        <f>VLOOKUP($D28,'2024Data to Complete Appendix C'!$C$8:$Q$313,14,FALSE)</f>
        <v>2.2999999999999998</v>
      </c>
      <c r="S28" s="177">
        <f>VLOOKUP($D28,'2024Data to Complete Appendix C'!$C$8:$Q$313,15,FALSE)</f>
        <v>1.10524</v>
      </c>
      <c r="T28" s="175">
        <f>IFERROR(VLOOKUP($D28,'2024_Lodging_by_WUP'!$A:$D,4,FALSE),0)</f>
        <v>0</v>
      </c>
      <c r="U28" s="175">
        <f t="shared" si="0"/>
        <v>0</v>
      </c>
      <c r="V28" s="178">
        <f>IFERROR(VLOOKUP($D28,Total_DU!$B$5:$AB$171,24,0),0)</f>
        <v>0</v>
      </c>
      <c r="W28" s="178">
        <f>IFERROR(VLOOKUP($D28,Total_DU!$B$5:$AB$174,25,0),0)</f>
        <v>0</v>
      </c>
      <c r="X28" s="178">
        <f>IFERROR(VLOOKUP($D28,Total_DU!$B$5:$AB$174,26,0),0)</f>
        <v>0</v>
      </c>
      <c r="Y28" s="178">
        <f>IFERROR(VLOOKUP($D28,Total_DU!$B$5:$AB$174,27,0),0)</f>
        <v>0</v>
      </c>
      <c r="Z28" s="178">
        <f>IFERROR(VLOOKUP($D28,Population!$B$5:$AA$175,23,FALSE),0)</f>
        <v>0</v>
      </c>
      <c r="AA28" s="178">
        <f>IFERROR(VLOOKUP($D28,Population!$B$5:$AA$175,24,FALSE),0)</f>
        <v>0</v>
      </c>
      <c r="AB28" s="178">
        <f>IFERROR(VLOOKUP($D28,Population!$B$5:$AA$175,25,FALSE),0)</f>
        <v>0</v>
      </c>
      <c r="AC28" s="178">
        <f>IFERROR(VLOOKUP($D28,Population!$B$5:$AA$175,26,FALSE),0)</f>
        <v>0</v>
      </c>
    </row>
    <row r="29" spans="1:29" x14ac:dyDescent="0.2">
      <c r="A29" s="1" t="s">
        <v>355</v>
      </c>
      <c r="B29" s="1" t="s">
        <v>379</v>
      </c>
      <c r="C29" s="1" t="s">
        <v>361</v>
      </c>
      <c r="D29" s="1">
        <v>7879</v>
      </c>
      <c r="E29" s="1">
        <v>2024</v>
      </c>
      <c r="F29" s="175">
        <f>VLOOKUP($D29,'2024Data to Complete Appendix C'!$C$8:$Q$313,2,FALSE)</f>
        <v>602</v>
      </c>
      <c r="G29" s="175">
        <f>VLOOKUP($D29,'2024Data to Complete Appendix C'!$C$8:$Q$313,3,FALSE)</f>
        <v>292</v>
      </c>
      <c r="H29" s="175">
        <f>VLOOKUP($D29,'2024Data to Complete Appendix C'!$C$8:$Q$313,4,FALSE)</f>
        <v>0</v>
      </c>
      <c r="I29" s="175">
        <f>VLOOKUP($D29,'2024Data to Complete Appendix C'!$C$8:$Q$313,5,FALSE)</f>
        <v>307</v>
      </c>
      <c r="J29" s="176">
        <f>VLOOKUP($D29,'2024Data to Complete Appendix C'!$C$8:$Q$313,6,FALSE)</f>
        <v>2.0616400000000001</v>
      </c>
      <c r="K29" s="176">
        <f>VLOOKUP($D29,'2024Data to Complete Appendix C'!$C$8:$Q$313,7,FALSE)</f>
        <v>1.95</v>
      </c>
      <c r="L29" s="176">
        <f>VLOOKUP($D29,'2024Data to Complete Appendix C'!$C$8:$Q$313,8,FALSE)</f>
        <v>1.1892499999999999</v>
      </c>
      <c r="M29" s="175">
        <f>VLOOKUP($D29,'2024Data to Complete Appendix C'!$C$8:$Q$313,9,FALSE)</f>
        <v>58.4238</v>
      </c>
      <c r="N29" s="176">
        <f>VLOOKUP($D29,'2024Data to Complete Appendix C'!$C$8:$Q$313,10,FALSE)</f>
        <v>0.16672300000000001</v>
      </c>
      <c r="O29" s="177">
        <f>VLOOKUP($D29,'2024Data to Complete Appendix C'!$C$8:$Q$313,11,FALSE)</f>
        <v>0.56699999999999995</v>
      </c>
      <c r="P29" s="177">
        <f>VLOOKUP($D29,'2024Data to Complete Appendix C'!$C$8:$Q$313,12,FALSE)</f>
        <v>0.77268000000000003</v>
      </c>
      <c r="Q29" s="177">
        <f>VLOOKUP($D29,'2024Data to Complete Appendix C'!$C$8:$Q$313,13,FALSE)</f>
        <v>0.59446223099999995</v>
      </c>
      <c r="R29" s="176">
        <f>VLOOKUP($D29,'2024Data to Complete Appendix C'!$C$8:$Q$313,14,FALSE)</f>
        <v>2.2999999999999998</v>
      </c>
      <c r="S29" s="177">
        <f>VLOOKUP($D29,'2024Data to Complete Appendix C'!$C$8:$Q$313,15,FALSE)</f>
        <v>-0.70616400000000001</v>
      </c>
      <c r="T29" s="175">
        <f>IFERROR(VLOOKUP($D29,'2024_Lodging_by_WUP'!$A:$D,4,FALSE),0)</f>
        <v>1</v>
      </c>
      <c r="U29" s="175">
        <f t="shared" si="0"/>
        <v>1.3672631312999999</v>
      </c>
      <c r="V29" s="178">
        <f>IFERROR(VLOOKUP($D29,Total_DU!$B$5:$AB$171,24,0),0)</f>
        <v>0</v>
      </c>
      <c r="W29" s="178">
        <f>IFERROR(VLOOKUP($D29,Total_DU!$B$5:$AB$174,25,0),0)</f>
        <v>0</v>
      </c>
      <c r="X29" s="178">
        <f>IFERROR(VLOOKUP($D29,Total_DU!$B$5:$AB$174,26,0),0)</f>
        <v>0</v>
      </c>
      <c r="Y29" s="178">
        <f>IFERROR(VLOOKUP($D29,Total_DU!$B$5:$AB$174,27,0),0)</f>
        <v>0</v>
      </c>
      <c r="Z29" s="178">
        <f>IFERROR(VLOOKUP($D29,Population!$B$5:$AA$175,23,FALSE),0)</f>
        <v>0</v>
      </c>
      <c r="AA29" s="178">
        <f>IFERROR(VLOOKUP($D29,Population!$B$5:$AA$175,24,FALSE),0)</f>
        <v>0</v>
      </c>
      <c r="AB29" s="178">
        <f>IFERROR(VLOOKUP($D29,Population!$B$5:$AA$175,25,FALSE),0)</f>
        <v>0</v>
      </c>
      <c r="AC29" s="178">
        <f>IFERROR(VLOOKUP($D29,Population!$B$5:$AA$175,26,FALSE),0)</f>
        <v>0</v>
      </c>
    </row>
    <row r="30" spans="1:29" x14ac:dyDescent="0.2">
      <c r="A30" s="1" t="s">
        <v>355</v>
      </c>
      <c r="B30" s="1" t="s">
        <v>380</v>
      </c>
      <c r="C30" s="1" t="s">
        <v>381</v>
      </c>
      <c r="D30" s="1">
        <v>8147</v>
      </c>
      <c r="E30" s="1">
        <v>2024</v>
      </c>
      <c r="F30" s="175">
        <f>VLOOKUP($D30,'2024Data to Complete Appendix C'!$C$8:$Q$313,2,FALSE)</f>
        <v>737</v>
      </c>
      <c r="G30" s="175">
        <f>VLOOKUP($D30,'2024Data to Complete Appendix C'!$C$8:$Q$313,3,FALSE)</f>
        <v>400</v>
      </c>
      <c r="H30" s="175">
        <f>VLOOKUP($D30,'2024Data to Complete Appendix C'!$C$8:$Q$313,4,FALSE)</f>
        <v>0</v>
      </c>
      <c r="I30" s="175">
        <f>VLOOKUP($D30,'2024Data to Complete Appendix C'!$C$8:$Q$313,5,FALSE)</f>
        <v>523</v>
      </c>
      <c r="J30" s="176">
        <f>VLOOKUP($D30,'2024Data to Complete Appendix C'!$C$8:$Q$313,6,FALSE)</f>
        <v>1.8425</v>
      </c>
      <c r="K30" s="176">
        <f>VLOOKUP($D30,'2024Data to Complete Appendix C'!$C$8:$Q$313,7,FALSE)</f>
        <v>1.95</v>
      </c>
      <c r="L30" s="176">
        <f>VLOOKUP($D30,'2024Data to Complete Appendix C'!$C$8:$Q$313,8,FALSE)</f>
        <v>1.0984100000000001</v>
      </c>
      <c r="M30" s="175">
        <f>VLOOKUP($D30,'2024Data to Complete Appendix C'!$C$8:$Q$313,9,FALSE)</f>
        <v>37.192900000000002</v>
      </c>
      <c r="N30" s="176">
        <f>VLOOKUP($D30,'2024Data to Complete Appendix C'!$C$8:$Q$313,10,FALSE)</f>
        <v>8.5072200000000001E-2</v>
      </c>
      <c r="O30" s="177">
        <f>VLOOKUP($D30,'2024Data to Complete Appendix C'!$C$8:$Q$313,11,FALSE)</f>
        <v>0.56699999999999995</v>
      </c>
      <c r="P30" s="177">
        <f>VLOOKUP($D30,'2024Data to Complete Appendix C'!$C$8:$Q$313,12,FALSE)</f>
        <v>0.77268000000000003</v>
      </c>
      <c r="Q30" s="177">
        <f>VLOOKUP($D30,'2024Data to Complete Appendix C'!$C$8:$Q$313,13,FALSE)</f>
        <v>0.59446223099999995</v>
      </c>
      <c r="R30" s="176">
        <f>VLOOKUP($D30,'2024Data to Complete Appendix C'!$C$8:$Q$313,14,FALSE)</f>
        <v>2.2999999999999998</v>
      </c>
      <c r="S30" s="177">
        <f>VLOOKUP($D30,'2024Data to Complete Appendix C'!$C$8:$Q$313,15,FALSE)</f>
        <v>-9.3794100000000005E-2</v>
      </c>
      <c r="T30" s="175">
        <f>IFERROR(VLOOKUP($D30,'2024_Lodging_by_WUP'!$A:$D,4,FALSE),0)</f>
        <v>0</v>
      </c>
      <c r="U30" s="175">
        <f t="shared" si="0"/>
        <v>0</v>
      </c>
      <c r="V30" s="178">
        <f>IFERROR(VLOOKUP($D30,Total_DU!$B$5:$AB$171,24,0),0)</f>
        <v>0</v>
      </c>
      <c r="W30" s="178">
        <f>IFERROR(VLOOKUP($D30,Total_DU!$B$5:$AB$174,25,0),0)</f>
        <v>0</v>
      </c>
      <c r="X30" s="178">
        <f>IFERROR(VLOOKUP($D30,Total_DU!$B$5:$AB$174,26,0),0)</f>
        <v>0</v>
      </c>
      <c r="Y30" s="178">
        <f>IFERROR(VLOOKUP($D30,Total_DU!$B$5:$AB$174,27,0),0)</f>
        <v>0</v>
      </c>
      <c r="Z30" s="178">
        <f>IFERROR(VLOOKUP($D30,Population!$B$5:$AA$175,23,FALSE),0)</f>
        <v>0</v>
      </c>
      <c r="AA30" s="178">
        <f>IFERROR(VLOOKUP($D30,Population!$B$5:$AA$175,24,FALSE),0)</f>
        <v>0</v>
      </c>
      <c r="AB30" s="178">
        <f>IFERROR(VLOOKUP($D30,Population!$B$5:$AA$175,25,FALSE),0)</f>
        <v>0</v>
      </c>
      <c r="AC30" s="178">
        <f>IFERROR(VLOOKUP($D30,Population!$B$5:$AA$175,26,FALSE),0)</f>
        <v>0</v>
      </c>
    </row>
    <row r="31" spans="1:29" x14ac:dyDescent="0.2">
      <c r="A31" s="1" t="s">
        <v>355</v>
      </c>
      <c r="B31" s="1" t="s">
        <v>382</v>
      </c>
      <c r="C31" s="1" t="s">
        <v>383</v>
      </c>
      <c r="D31" s="1">
        <v>9097</v>
      </c>
      <c r="E31" s="1">
        <v>2024</v>
      </c>
      <c r="F31" s="175">
        <f>VLOOKUP($D31,'2024Data to Complete Appendix C'!$C$8:$Q$313,2,FALSE)</f>
        <v>469</v>
      </c>
      <c r="G31" s="175">
        <f>VLOOKUP($D31,'2024Data to Complete Appendix C'!$C$8:$Q$313,3,FALSE)</f>
        <v>217</v>
      </c>
      <c r="H31" s="175">
        <f>VLOOKUP($D31,'2024Data to Complete Appendix C'!$C$8:$Q$313,4,FALSE)</f>
        <v>0</v>
      </c>
      <c r="I31" s="175">
        <f>VLOOKUP($D31,'2024Data to Complete Appendix C'!$C$8:$Q$313,5,FALSE)</f>
        <v>245</v>
      </c>
      <c r="J31" s="176">
        <f>VLOOKUP($D31,'2024Data to Complete Appendix C'!$C$8:$Q$313,6,FALSE)</f>
        <v>2.1612900000000002</v>
      </c>
      <c r="K31" s="176">
        <f>VLOOKUP($D31,'2024Data to Complete Appendix C'!$C$8:$Q$313,7,FALSE)</f>
        <v>1.95</v>
      </c>
      <c r="L31" s="176">
        <f>VLOOKUP($D31,'2024Data to Complete Appendix C'!$C$8:$Q$313,8,FALSE)</f>
        <v>1.1892499999999999</v>
      </c>
      <c r="M31" s="175">
        <f>VLOOKUP($D31,'2024Data to Complete Appendix C'!$C$8:$Q$313,9,FALSE)</f>
        <v>45.516199999999998</v>
      </c>
      <c r="N31" s="176">
        <f>VLOOKUP($D31,'2024Data to Complete Appendix C'!$C$8:$Q$313,10,FALSE)</f>
        <v>0.17338400000000001</v>
      </c>
      <c r="O31" s="177">
        <f>VLOOKUP($D31,'2024Data to Complete Appendix C'!$C$8:$Q$313,11,FALSE)</f>
        <v>0.56699999999999995</v>
      </c>
      <c r="P31" s="177">
        <f>VLOOKUP($D31,'2024Data to Complete Appendix C'!$C$8:$Q$313,12,FALSE)</f>
        <v>0.77268000000000003</v>
      </c>
      <c r="Q31" s="177">
        <f>VLOOKUP($D31,'2024Data to Complete Appendix C'!$C$8:$Q$313,13,FALSE)</f>
        <v>0.59446223099999995</v>
      </c>
      <c r="R31" s="176">
        <f>VLOOKUP($D31,'2024Data to Complete Appendix C'!$C$8:$Q$313,14,FALSE)</f>
        <v>2.2999999999999998</v>
      </c>
      <c r="S31" s="177">
        <f>VLOOKUP($D31,'2024Data to Complete Appendix C'!$C$8:$Q$313,15,FALSE)</f>
        <v>-0.70616400000000001</v>
      </c>
      <c r="T31" s="175">
        <f>IFERROR(VLOOKUP($D31,'2024_Lodging_by_WUP'!$A:$D,4,FALSE),0)</f>
        <v>0</v>
      </c>
      <c r="U31" s="175">
        <f t="shared" si="0"/>
        <v>0</v>
      </c>
      <c r="V31" s="178">
        <f>IFERROR(VLOOKUP($D31,Total_DU!$B$5:$AB$171,24,0),0)</f>
        <v>72</v>
      </c>
      <c r="W31" s="178">
        <f>IFERROR(VLOOKUP($D31,Total_DU!$B$5:$AB$174,25,0),0)</f>
        <v>73</v>
      </c>
      <c r="X31" s="178">
        <f>IFERROR(VLOOKUP($D31,Total_DU!$B$5:$AB$174,26,0),0)</f>
        <v>85</v>
      </c>
      <c r="Y31" s="178">
        <f>IFERROR(VLOOKUP($D31,Total_DU!$B$5:$AB$174,27,0),0)</f>
        <v>87</v>
      </c>
      <c r="Z31" s="178">
        <f>IFERROR(VLOOKUP($D31,Population!$B$5:$AA$175,23,FALSE),0)</f>
        <v>158.37739111786871</v>
      </c>
      <c r="AA31" s="178">
        <f>IFERROR(VLOOKUP($D31,Population!$B$5:$AA$175,24,FALSE),0)</f>
        <v>161</v>
      </c>
      <c r="AB31" s="178">
        <f>IFERROR(VLOOKUP($D31,Population!$B$5:$AA$175,25,FALSE),0)</f>
        <v>187</v>
      </c>
      <c r="AC31" s="178">
        <f>IFERROR(VLOOKUP($D31,Population!$B$5:$AA$175,26,FALSE),0)</f>
        <v>178.15839568748805</v>
      </c>
    </row>
    <row r="32" spans="1:29" x14ac:dyDescent="0.2">
      <c r="A32" s="1" t="s">
        <v>355</v>
      </c>
      <c r="B32" s="1" t="s">
        <v>384</v>
      </c>
      <c r="C32" s="1" t="s">
        <v>385</v>
      </c>
      <c r="D32" s="1">
        <v>9532</v>
      </c>
      <c r="E32" s="1">
        <v>2024</v>
      </c>
      <c r="F32" s="175">
        <f>VLOOKUP($D32,'2024Data to Complete Appendix C'!$C$8:$Q$313,2,FALSE)</f>
        <v>241</v>
      </c>
      <c r="G32" s="175">
        <f>VLOOKUP($D32,'2024Data to Complete Appendix C'!$C$8:$Q$313,3,FALSE)</f>
        <v>154</v>
      </c>
      <c r="H32" s="175">
        <f>VLOOKUP($D32,'2024Data to Complete Appendix C'!$C$8:$Q$313,4,FALSE)</f>
        <v>0</v>
      </c>
      <c r="I32" s="175">
        <f>VLOOKUP($D32,'2024Data to Complete Appendix C'!$C$8:$Q$313,5,FALSE)</f>
        <v>230</v>
      </c>
      <c r="J32" s="176">
        <f>VLOOKUP($D32,'2024Data to Complete Appendix C'!$C$8:$Q$313,6,FALSE)</f>
        <v>1.56494</v>
      </c>
      <c r="K32" s="176">
        <f>VLOOKUP($D32,'2024Data to Complete Appendix C'!$C$8:$Q$313,7,FALSE)</f>
        <v>1.95</v>
      </c>
      <c r="L32" s="176">
        <f>VLOOKUP($D32,'2024Data to Complete Appendix C'!$C$8:$Q$313,8,FALSE)</f>
        <v>1.09457</v>
      </c>
      <c r="M32" s="175">
        <f>VLOOKUP($D32,'2024Data to Complete Appendix C'!$C$8:$Q$313,9,FALSE)</f>
        <v>11.6883</v>
      </c>
      <c r="N32" s="176">
        <f>VLOOKUP($D32,'2024Data to Complete Appendix C'!$C$8:$Q$313,10,FALSE)</f>
        <v>7.0543700000000001E-2</v>
      </c>
      <c r="O32" s="177">
        <f>VLOOKUP($D32,'2024Data to Complete Appendix C'!$C$8:$Q$313,11,FALSE)</f>
        <v>0.56699999999999995</v>
      </c>
      <c r="P32" s="177">
        <f>VLOOKUP($D32,'2024Data to Complete Appendix C'!$C$8:$Q$313,12,FALSE)</f>
        <v>0.77268000000000003</v>
      </c>
      <c r="Q32" s="177">
        <f>VLOOKUP($D32,'2024Data to Complete Appendix C'!$C$8:$Q$313,13,FALSE)</f>
        <v>0.59446223099999995</v>
      </c>
      <c r="R32" s="176">
        <f>VLOOKUP($D32,'2024Data to Complete Appendix C'!$C$8:$Q$313,14,FALSE)</f>
        <v>2.2999999999999998</v>
      </c>
      <c r="S32" s="177">
        <f>VLOOKUP($D32,'2024Data to Complete Appendix C'!$C$8:$Q$313,15,FALSE)</f>
        <v>-0.30601400000000001</v>
      </c>
      <c r="T32" s="175">
        <f>IFERROR(VLOOKUP($D32,'2024_Lodging_by_WUP'!$A:$D,4,FALSE),0)</f>
        <v>0</v>
      </c>
      <c r="U32" s="175">
        <f t="shared" si="0"/>
        <v>0</v>
      </c>
      <c r="V32" s="178">
        <f>IFERROR(VLOOKUP($D32,Total_DU!$B$5:$AB$171,24,0),0)</f>
        <v>0</v>
      </c>
      <c r="W32" s="178">
        <f>IFERROR(VLOOKUP($D32,Total_DU!$B$5:$AB$174,25,0),0)</f>
        <v>0</v>
      </c>
      <c r="X32" s="178">
        <f>IFERROR(VLOOKUP($D32,Total_DU!$B$5:$AB$174,26,0),0)</f>
        <v>0</v>
      </c>
      <c r="Y32" s="178">
        <f>IFERROR(VLOOKUP($D32,Total_DU!$B$5:$AB$174,27,0),0)</f>
        <v>0</v>
      </c>
      <c r="Z32" s="178">
        <f>IFERROR(VLOOKUP($D32,Population!$B$5:$AA$175,23,FALSE),0)</f>
        <v>0</v>
      </c>
      <c r="AA32" s="178">
        <f>IFERROR(VLOOKUP($D32,Population!$B$5:$AA$175,24,FALSE),0)</f>
        <v>0</v>
      </c>
      <c r="AB32" s="178">
        <f>IFERROR(VLOOKUP($D32,Population!$B$5:$AA$175,25,FALSE),0)</f>
        <v>0</v>
      </c>
      <c r="AC32" s="178">
        <f>IFERROR(VLOOKUP($D32,Population!$B$5:$AA$175,26,FALSE),0)</f>
        <v>0</v>
      </c>
    </row>
    <row r="33" spans="1:29" x14ac:dyDescent="0.2">
      <c r="A33" s="1" t="s">
        <v>355</v>
      </c>
      <c r="B33" s="1" t="s">
        <v>386</v>
      </c>
      <c r="C33" s="1" t="s">
        <v>361</v>
      </c>
      <c r="D33" s="1">
        <v>9791</v>
      </c>
      <c r="E33" s="1">
        <v>2024</v>
      </c>
      <c r="F33" s="175">
        <f>VLOOKUP($D33,'2024Data to Complete Appendix C'!$C$8:$Q$313,2,FALSE)</f>
        <v>11670</v>
      </c>
      <c r="G33" s="175">
        <f>VLOOKUP($D33,'2024Data to Complete Appendix C'!$C$8:$Q$313,3,FALSE)</f>
        <v>5642</v>
      </c>
      <c r="H33" s="175">
        <f>VLOOKUP($D33,'2024Data to Complete Appendix C'!$C$8:$Q$313,4,FALSE)</f>
        <v>80</v>
      </c>
      <c r="I33" s="175">
        <f>VLOOKUP($D33,'2024Data to Complete Appendix C'!$C$8:$Q$313,5,FALSE)</f>
        <v>6442</v>
      </c>
      <c r="J33" s="176">
        <f>VLOOKUP($D33,'2024Data to Complete Appendix C'!$C$8:$Q$313,6,FALSE)</f>
        <v>2.0684200000000001</v>
      </c>
      <c r="K33" s="176">
        <f>VLOOKUP($D33,'2024Data to Complete Appendix C'!$C$8:$Q$313,7,FALSE)</f>
        <v>1.95</v>
      </c>
      <c r="L33" s="176">
        <f>VLOOKUP($D33,'2024Data to Complete Appendix C'!$C$8:$Q$313,8,FALSE)</f>
        <v>1.07301</v>
      </c>
      <c r="M33" s="175">
        <f>VLOOKUP($D33,'2024Data to Complete Appendix C'!$C$8:$Q$313,9,FALSE)</f>
        <v>436.959</v>
      </c>
      <c r="N33" s="176">
        <f>VLOOKUP($D33,'2024Data to Complete Appendix C'!$C$8:$Q$313,10,FALSE)</f>
        <v>7.18805E-2</v>
      </c>
      <c r="O33" s="177">
        <f>VLOOKUP($D33,'2024Data to Complete Appendix C'!$C$8:$Q$313,11,FALSE)</f>
        <v>0.56699999999999995</v>
      </c>
      <c r="P33" s="177">
        <f>VLOOKUP($D33,'2024Data to Complete Appendix C'!$C$8:$Q$313,12,FALSE)</f>
        <v>0.77268000000000003</v>
      </c>
      <c r="Q33" s="177">
        <f>VLOOKUP($D33,'2024Data to Complete Appendix C'!$C$8:$Q$313,13,FALSE)</f>
        <v>0.59446223099999995</v>
      </c>
      <c r="R33" s="176">
        <f>VLOOKUP($D33,'2024Data to Complete Appendix C'!$C$8:$Q$313,14,FALSE)</f>
        <v>2.2999999999999998</v>
      </c>
      <c r="S33" s="177">
        <f>VLOOKUP($D33,'2024Data to Complete Appendix C'!$C$8:$Q$313,15,FALSE)</f>
        <v>-0.245061</v>
      </c>
      <c r="T33" s="175">
        <f>IFERROR(VLOOKUP($D33,'2024_Lodging_by_WUP'!$A:$D,4,FALSE),0)</f>
        <v>17</v>
      </c>
      <c r="U33" s="175">
        <f t="shared" si="0"/>
        <v>23.243473232099994</v>
      </c>
      <c r="V33" s="178">
        <f>IFERROR(VLOOKUP($D33,Total_DU!$B$5:$AB$171,24,0),0)</f>
        <v>6381</v>
      </c>
      <c r="W33" s="178">
        <f>IFERROR(VLOOKUP($D33,Total_DU!$B$5:$AB$174,25,0),0)</f>
        <v>7073</v>
      </c>
      <c r="X33" s="178">
        <f>IFERROR(VLOOKUP($D33,Total_DU!$B$5:$AB$174,26,0),0)</f>
        <v>6479</v>
      </c>
      <c r="Y33" s="178">
        <f>IFERROR(VLOOKUP($D33,Total_DU!$B$5:$AB$174,27,0),0)</f>
        <v>6569</v>
      </c>
      <c r="Z33" s="178">
        <f>IFERROR(VLOOKUP($D33,Population!$B$5:$AA$175,23,FALSE),0)</f>
        <v>12999.473059699008</v>
      </c>
      <c r="AA33" s="178">
        <f>IFERROR(VLOOKUP($D33,Population!$B$5:$AA$175,24,FALSE),0)</f>
        <v>14405</v>
      </c>
      <c r="AB33" s="178">
        <f>IFERROR(VLOOKUP($D33,Population!$B$5:$AA$175,25,FALSE),0)</f>
        <v>13201</v>
      </c>
      <c r="AC33" s="178">
        <f>IFERROR(VLOOKUP($D33,Population!$B$5:$AA$175,26,FALSE),0)</f>
        <v>13428.09365872924</v>
      </c>
    </row>
    <row r="34" spans="1:29" x14ac:dyDescent="0.2">
      <c r="A34" s="1" t="s">
        <v>355</v>
      </c>
      <c r="B34" s="1" t="s">
        <v>387</v>
      </c>
      <c r="C34" s="1" t="s">
        <v>388</v>
      </c>
      <c r="D34" s="1">
        <v>11839</v>
      </c>
      <c r="E34" s="1">
        <v>2024</v>
      </c>
      <c r="F34" s="175">
        <f>VLOOKUP($D34,'2024Data to Complete Appendix C'!$C$8:$Q$313,2,FALSE)</f>
        <v>858</v>
      </c>
      <c r="G34" s="175">
        <f>VLOOKUP($D34,'2024Data to Complete Appendix C'!$C$8:$Q$313,3,FALSE)</f>
        <v>523</v>
      </c>
      <c r="H34" s="175">
        <f>VLOOKUP($D34,'2024Data to Complete Appendix C'!$C$8:$Q$313,4,FALSE)</f>
        <v>0</v>
      </c>
      <c r="I34" s="175">
        <f>VLOOKUP($D34,'2024Data to Complete Appendix C'!$C$8:$Q$313,5,FALSE)</f>
        <v>627</v>
      </c>
      <c r="J34" s="176">
        <f>VLOOKUP($D34,'2024Data to Complete Appendix C'!$C$8:$Q$313,6,FALSE)</f>
        <v>1.6405400000000001</v>
      </c>
      <c r="K34" s="176">
        <f>VLOOKUP($D34,'2024Data to Complete Appendix C'!$C$8:$Q$313,7,FALSE)</f>
        <v>1.95</v>
      </c>
      <c r="L34" s="176">
        <f>VLOOKUP($D34,'2024Data to Complete Appendix C'!$C$8:$Q$313,8,FALSE)</f>
        <v>1.07301</v>
      </c>
      <c r="M34" s="175">
        <f>VLOOKUP($D34,'2024Data to Complete Appendix C'!$C$8:$Q$313,9,FALSE)</f>
        <v>32.125999999999998</v>
      </c>
      <c r="N34" s="176">
        <f>VLOOKUP($D34,'2024Data to Complete Appendix C'!$C$8:$Q$313,10,FALSE)</f>
        <v>5.7871600000000002E-2</v>
      </c>
      <c r="O34" s="177">
        <f>VLOOKUP($D34,'2024Data to Complete Appendix C'!$C$8:$Q$313,11,FALSE)</f>
        <v>0.56699999999999995</v>
      </c>
      <c r="P34" s="177">
        <f>VLOOKUP($D34,'2024Data to Complete Appendix C'!$C$8:$Q$313,12,FALSE)</f>
        <v>0.77268000000000003</v>
      </c>
      <c r="Q34" s="177">
        <f>VLOOKUP($D34,'2024Data to Complete Appendix C'!$C$8:$Q$313,13,FALSE)</f>
        <v>0.59446223099999995</v>
      </c>
      <c r="R34" s="176">
        <f>VLOOKUP($D34,'2024Data to Complete Appendix C'!$C$8:$Q$313,14,FALSE)</f>
        <v>2.2999999999999998</v>
      </c>
      <c r="S34" s="177">
        <f>VLOOKUP($D34,'2024Data to Complete Appendix C'!$C$8:$Q$313,15,FALSE)</f>
        <v>-0.264936</v>
      </c>
      <c r="T34" s="175">
        <f>IFERROR(VLOOKUP($D34,'2024_Lodging_by_WUP'!$A:$D,4,FALSE),0)</f>
        <v>0</v>
      </c>
      <c r="U34" s="175">
        <f t="shared" si="0"/>
        <v>0</v>
      </c>
      <c r="V34" s="178">
        <f>IFERROR(VLOOKUP($D34,Total_DU!$B$5:$AB$171,24,0),0)</f>
        <v>522</v>
      </c>
      <c r="W34" s="178">
        <f>IFERROR(VLOOKUP($D34,Total_DU!$B$5:$AB$174,25,0),0)</f>
        <v>522</v>
      </c>
      <c r="X34" s="178">
        <f>IFERROR(VLOOKUP($D34,Total_DU!$B$5:$AB$174,26,0),0)</f>
        <v>522</v>
      </c>
      <c r="Y34" s="178">
        <f>IFERROR(VLOOKUP($D34,Total_DU!$B$5:$AB$174,27,0),0)</f>
        <v>662</v>
      </c>
      <c r="Z34" s="178">
        <f>IFERROR(VLOOKUP($D34,Population!$B$5:$AA$175,23,FALSE),0)</f>
        <v>1021.368440565181</v>
      </c>
      <c r="AA34" s="178">
        <f>IFERROR(VLOOKUP($D34,Population!$B$5:$AA$175,24,FALSE),0)</f>
        <v>1021</v>
      </c>
      <c r="AB34" s="178">
        <f>IFERROR(VLOOKUP($D34,Population!$B$5:$AA$175,25,FALSE),0)</f>
        <v>1021</v>
      </c>
      <c r="AC34" s="178">
        <f>IFERROR(VLOOKUP($D34,Population!$B$5:$AA$175,26,FALSE),0)</f>
        <v>1068.9593061322844</v>
      </c>
    </row>
    <row r="35" spans="1:29" x14ac:dyDescent="0.2">
      <c r="A35" s="1" t="s">
        <v>355</v>
      </c>
      <c r="B35" s="1" t="s">
        <v>389</v>
      </c>
      <c r="C35" s="1" t="s">
        <v>390</v>
      </c>
      <c r="D35" s="1">
        <v>20230</v>
      </c>
      <c r="E35" s="1">
        <v>2024</v>
      </c>
      <c r="F35" s="175">
        <f>VLOOKUP($D35,'2024Data to Complete Appendix C'!$C$8:$Q$313,2,FALSE)</f>
        <v>4007</v>
      </c>
      <c r="G35" s="175">
        <f>VLOOKUP($D35,'2024Data to Complete Appendix C'!$C$8:$Q$313,3,FALSE)</f>
        <v>2096</v>
      </c>
      <c r="H35" s="175">
        <f>VLOOKUP($D35,'2024Data to Complete Appendix C'!$C$8:$Q$313,4,FALSE)</f>
        <v>0</v>
      </c>
      <c r="I35" s="175">
        <f>VLOOKUP($D35,'2024Data to Complete Appendix C'!$C$8:$Q$313,5,FALSE)</f>
        <v>2984</v>
      </c>
      <c r="J35" s="176">
        <f>VLOOKUP($D35,'2024Data to Complete Appendix C'!$C$8:$Q$313,6,FALSE)</f>
        <v>1.91174</v>
      </c>
      <c r="K35" s="176">
        <f>VLOOKUP($D35,'2024Data to Complete Appendix C'!$C$8:$Q$313,7,FALSE)</f>
        <v>1.95</v>
      </c>
      <c r="L35" s="176">
        <f>VLOOKUP($D35,'2024Data to Complete Appendix C'!$C$8:$Q$313,8,FALSE)</f>
        <v>1.0727599999999999</v>
      </c>
      <c r="M35" s="175">
        <f>VLOOKUP($D35,'2024Data to Complete Appendix C'!$C$8:$Q$313,9,FALSE)</f>
        <v>149.506</v>
      </c>
      <c r="N35" s="176">
        <f>VLOOKUP($D35,'2024Data to Complete Appendix C'!$C$8:$Q$313,10,FALSE)</f>
        <v>6.6580100000000003E-2</v>
      </c>
      <c r="O35" s="177">
        <f>VLOOKUP($D35,'2024Data to Complete Appendix C'!$C$8:$Q$313,11,FALSE)</f>
        <v>0.56699999999999995</v>
      </c>
      <c r="P35" s="177">
        <f>VLOOKUP($D35,'2024Data to Complete Appendix C'!$C$8:$Q$313,12,FALSE)</f>
        <v>0.77268000000000003</v>
      </c>
      <c r="Q35" s="177">
        <f>VLOOKUP($D35,'2024Data to Complete Appendix C'!$C$8:$Q$313,13,FALSE)</f>
        <v>0.59446223099999995</v>
      </c>
      <c r="R35" s="176">
        <f>VLOOKUP($D35,'2024Data to Complete Appendix C'!$C$8:$Q$313,14,FALSE)</f>
        <v>2.2999999999999998</v>
      </c>
      <c r="S35" s="177">
        <f>VLOOKUP($D35,'2024Data to Complete Appendix C'!$C$8:$Q$313,15,FALSE)</f>
        <v>0.51644500000000004</v>
      </c>
      <c r="T35" s="175">
        <f>IFERROR(VLOOKUP($D35,'2024_Lodging_by_WUP'!$A:$D,4,FALSE),0)</f>
        <v>251</v>
      </c>
      <c r="U35" s="175">
        <f t="shared" si="0"/>
        <v>343.18304595629996</v>
      </c>
      <c r="V35" s="178">
        <f>IFERROR(VLOOKUP($D35,Total_DU!$B$5:$AB$171,24,0),0)</f>
        <v>2040</v>
      </c>
      <c r="W35" s="178">
        <f>IFERROR(VLOOKUP($D35,Total_DU!$B$5:$AB$174,25,0),0)</f>
        <v>2053</v>
      </c>
      <c r="X35" s="178">
        <f>IFERROR(VLOOKUP($D35,Total_DU!$B$5:$AB$174,26,0),0)</f>
        <v>2076</v>
      </c>
      <c r="Y35" s="178">
        <f>IFERROR(VLOOKUP($D35,Total_DU!$B$5:$AB$174,27,0),0)</f>
        <v>2075</v>
      </c>
      <c r="Z35" s="178">
        <f>IFERROR(VLOOKUP($D35,Population!$B$5:$AA$175,23,FALSE),0)</f>
        <v>4754.0141331993646</v>
      </c>
      <c r="AA35" s="178">
        <f>IFERROR(VLOOKUP($D35,Population!$B$5:$AA$175,24,FALSE),0)</f>
        <v>4739</v>
      </c>
      <c r="AB35" s="178">
        <f>IFERROR(VLOOKUP($D35,Population!$B$5:$AA$175,25,FALSE),0)</f>
        <v>4788</v>
      </c>
      <c r="AC35" s="178">
        <f>IFERROR(VLOOKUP($D35,Population!$B$5:$AA$175,26,FALSE),0)</f>
        <v>4166.0468844930656</v>
      </c>
    </row>
    <row r="36" spans="1:29" x14ac:dyDescent="0.2">
      <c r="A36" s="1" t="s">
        <v>391</v>
      </c>
      <c r="B36" s="1" t="s">
        <v>392</v>
      </c>
      <c r="C36" s="1" t="s">
        <v>393</v>
      </c>
      <c r="D36" s="1">
        <v>4725</v>
      </c>
      <c r="E36" s="1">
        <v>2024</v>
      </c>
      <c r="F36" s="175">
        <f>VLOOKUP($D36,'2024Data to Complete Appendix C'!$C$8:$Q$313,2,FALSE)</f>
        <v>11547</v>
      </c>
      <c r="G36" s="175">
        <f>VLOOKUP($D36,'2024Data to Complete Appendix C'!$C$8:$Q$313,3,FALSE)</f>
        <v>4320</v>
      </c>
      <c r="H36" s="175">
        <f>VLOOKUP($D36,'2024Data to Complete Appendix C'!$C$8:$Q$313,4,FALSE)</f>
        <v>365</v>
      </c>
      <c r="I36" s="175">
        <f>VLOOKUP($D36,'2024Data to Complete Appendix C'!$C$8:$Q$313,5,FALSE)</f>
        <v>5123</v>
      </c>
      <c r="J36" s="176">
        <f>VLOOKUP($D36,'2024Data to Complete Appendix C'!$C$8:$Q$313,6,FALSE)</f>
        <v>2.67292</v>
      </c>
      <c r="K36" s="176">
        <f>VLOOKUP($D36,'2024Data to Complete Appendix C'!$C$8:$Q$313,7,FALSE)</f>
        <v>1.95</v>
      </c>
      <c r="L36" s="176">
        <f>VLOOKUP($D36,'2024Data to Complete Appendix C'!$C$8:$Q$313,8,FALSE)</f>
        <v>1.1270800000000001</v>
      </c>
      <c r="M36" s="175">
        <f>VLOOKUP($D36,'2024Data to Complete Appendix C'!$C$8:$Q$313,9,FALSE)</f>
        <v>752.50800000000004</v>
      </c>
      <c r="N36" s="176">
        <f>VLOOKUP($D36,'2024Data to Complete Appendix C'!$C$8:$Q$313,10,FALSE)</f>
        <v>0.14835000000000001</v>
      </c>
      <c r="O36" s="177">
        <f>VLOOKUP($D36,'2024Data to Complete Appendix C'!$C$8:$Q$313,11,FALSE)</f>
        <v>0.56699999999999995</v>
      </c>
      <c r="P36" s="177">
        <f>VLOOKUP($D36,'2024Data to Complete Appendix C'!$C$8:$Q$313,12,FALSE)</f>
        <v>0.77268000000000003</v>
      </c>
      <c r="Q36" s="177">
        <f>VLOOKUP($D36,'2024Data to Complete Appendix C'!$C$8:$Q$313,13,FALSE)</f>
        <v>0.55268598700000005</v>
      </c>
      <c r="R36" s="176">
        <f>VLOOKUP($D36,'2024Data to Complete Appendix C'!$C$8:$Q$313,14,FALSE)</f>
        <v>2.2999999999999998</v>
      </c>
      <c r="S36" s="177">
        <f>VLOOKUP($D36,'2024Data to Complete Appendix C'!$C$8:$Q$313,15,FALSE)</f>
        <v>-0.60567199999999999</v>
      </c>
      <c r="T36" s="175">
        <f>IFERROR(VLOOKUP($D36,'2024_Lodging_by_WUP'!$A:$D,4,FALSE),0)</f>
        <v>35</v>
      </c>
      <c r="U36" s="175">
        <f t="shared" si="0"/>
        <v>44.491221953500002</v>
      </c>
      <c r="V36" s="178">
        <f>IFERROR(VLOOKUP($D36,Total_DU!$B$5:$AB$171,24,0),0)</f>
        <v>4227</v>
      </c>
      <c r="W36" s="178">
        <f>IFERROR(VLOOKUP($D36,Total_DU!$B$5:$AB$174,25,0),0)</f>
        <v>4319</v>
      </c>
      <c r="X36" s="178">
        <f>IFERROR(VLOOKUP($D36,Total_DU!$B$5:$AB$174,26,0),0)</f>
        <v>4588</v>
      </c>
      <c r="Y36" s="178">
        <f>IFERROR(VLOOKUP($D36,Total_DU!$B$5:$AB$174,27,0),0)</f>
        <v>4666</v>
      </c>
      <c r="Z36" s="178">
        <f>IFERROR(VLOOKUP($D36,Population!$B$5:$AA$175,23,FALSE),0)</f>
        <v>11868.294486976434</v>
      </c>
      <c r="AA36" s="178">
        <f>IFERROR(VLOOKUP($D36,Population!$B$5:$AA$175,24,FALSE),0)</f>
        <v>12113</v>
      </c>
      <c r="AB36" s="178">
        <f>IFERROR(VLOOKUP($D36,Population!$B$5:$AA$175,25,FALSE),0)</f>
        <v>12884</v>
      </c>
      <c r="AC36" s="178">
        <f>IFERROR(VLOOKUP($D36,Population!$B$5:$AA$175,26,FALSE),0)</f>
        <v>12040</v>
      </c>
    </row>
    <row r="37" spans="1:29" x14ac:dyDescent="0.2">
      <c r="A37" s="1" t="s">
        <v>391</v>
      </c>
      <c r="B37" s="1" t="s">
        <v>394</v>
      </c>
      <c r="C37" s="1" t="s">
        <v>395</v>
      </c>
      <c r="D37" s="1">
        <v>20457</v>
      </c>
      <c r="E37" s="1">
        <v>2024</v>
      </c>
      <c r="F37" s="175">
        <f>VLOOKUP($D37,'2024Data to Complete Appendix C'!$C$8:$Q$313,2,FALSE)</f>
        <v>10953</v>
      </c>
      <c r="G37" s="175">
        <f>VLOOKUP($D37,'2024Data to Complete Appendix C'!$C$8:$Q$313,3,FALSE)</f>
        <v>4907</v>
      </c>
      <c r="H37" s="175">
        <f>VLOOKUP($D37,'2024Data to Complete Appendix C'!$C$8:$Q$313,4,FALSE)</f>
        <v>249</v>
      </c>
      <c r="I37" s="175">
        <f>VLOOKUP($D37,'2024Data to Complete Appendix C'!$C$8:$Q$313,5,FALSE)</f>
        <v>6849</v>
      </c>
      <c r="J37" s="176">
        <f>VLOOKUP($D37,'2024Data to Complete Appendix C'!$C$8:$Q$313,6,FALSE)</f>
        <v>2.2321200000000001</v>
      </c>
      <c r="K37" s="176">
        <f>VLOOKUP($D37,'2024Data to Complete Appendix C'!$C$8:$Q$313,7,FALSE)</f>
        <v>1.95</v>
      </c>
      <c r="L37" s="176">
        <f>VLOOKUP($D37,'2024Data to Complete Appendix C'!$C$8:$Q$313,8,FALSE)</f>
        <v>1.3086199999999999</v>
      </c>
      <c r="M37" s="175">
        <f>VLOOKUP($D37,'2024Data to Complete Appendix C'!$C$8:$Q$313,9,FALSE)</f>
        <v>1733.51</v>
      </c>
      <c r="N37" s="176">
        <f>VLOOKUP($D37,'2024Data to Complete Appendix C'!$C$8:$Q$313,10,FALSE)</f>
        <v>0.26105099999999998</v>
      </c>
      <c r="O37" s="177">
        <f>VLOOKUP($D37,'2024Data to Complete Appendix C'!$C$8:$Q$313,11,FALSE)</f>
        <v>0.56699999999999995</v>
      </c>
      <c r="P37" s="177">
        <f>VLOOKUP($D37,'2024Data to Complete Appendix C'!$C$8:$Q$313,12,FALSE)</f>
        <v>0.77268000000000003</v>
      </c>
      <c r="Q37" s="177">
        <f>VLOOKUP($D37,'2024Data to Complete Appendix C'!$C$8:$Q$313,13,FALSE)</f>
        <v>0.55268598700000005</v>
      </c>
      <c r="R37" s="176">
        <f>VLOOKUP($D37,'2024Data to Complete Appendix C'!$C$8:$Q$313,14,FALSE)</f>
        <v>2.2999999999999998</v>
      </c>
      <c r="S37" s="177">
        <f>VLOOKUP($D37,'2024Data to Complete Appendix C'!$C$8:$Q$313,15,FALSE)</f>
        <v>-0.80090600000000001</v>
      </c>
      <c r="T37" s="175">
        <f>IFERROR(VLOOKUP($D37,'2024_Lodging_by_WUP'!$A:$D,4,FALSE),0)</f>
        <v>129</v>
      </c>
      <c r="U37" s="175">
        <f t="shared" si="0"/>
        <v>163.98193234290002</v>
      </c>
      <c r="V37" s="178">
        <f>IFERROR(VLOOKUP($D37,Total_DU!$B$5:$AB$171,24,0),0)</f>
        <v>2833</v>
      </c>
      <c r="W37" s="178">
        <f>IFERROR(VLOOKUP($D37,Total_DU!$B$5:$AB$174,25,0),0)</f>
        <v>2946</v>
      </c>
      <c r="X37" s="178">
        <f>IFERROR(VLOOKUP($D37,Total_DU!$B$5:$AB$174,26,0),0)</f>
        <v>2968</v>
      </c>
      <c r="Y37" s="178">
        <f>IFERROR(VLOOKUP($D37,Total_DU!$B$5:$AB$174,27,0),0)</f>
        <v>3296</v>
      </c>
      <c r="Z37" s="178">
        <f>IFERROR(VLOOKUP($D37,Population!$B$5:$AA$175,23,FALSE),0)</f>
        <v>5950.5386827475713</v>
      </c>
      <c r="AA37" s="178">
        <f>IFERROR(VLOOKUP($D37,Population!$B$5:$AA$175,24,FALSE),0)</f>
        <v>6188</v>
      </c>
      <c r="AB37" s="178">
        <f>IFERROR(VLOOKUP($D37,Population!$B$5:$AA$175,25,FALSE),0)</f>
        <v>6234</v>
      </c>
      <c r="AC37" s="178">
        <f>IFERROR(VLOOKUP($D37,Population!$B$5:$AA$175,26,FALSE),0)</f>
        <v>7015.6228771743063</v>
      </c>
    </row>
    <row r="38" spans="1:29" x14ac:dyDescent="0.2">
      <c r="A38" s="1" t="s">
        <v>396</v>
      </c>
      <c r="B38" s="1" t="s">
        <v>397</v>
      </c>
      <c r="C38" s="1" t="s">
        <v>398</v>
      </c>
      <c r="D38" s="1">
        <v>30</v>
      </c>
      <c r="E38" s="1">
        <v>2024</v>
      </c>
      <c r="F38" s="175">
        <f>VLOOKUP($D38,'2024Data to Complete Appendix C'!$C$8:$Q$313,2,FALSE)</f>
        <v>3085</v>
      </c>
      <c r="G38" s="175">
        <f>VLOOKUP($D38,'2024Data to Complete Appendix C'!$C$8:$Q$313,3,FALSE)</f>
        <v>1015</v>
      </c>
      <c r="H38" s="175">
        <f>VLOOKUP($D38,'2024Data to Complete Appendix C'!$C$8:$Q$313,4,FALSE)</f>
        <v>0</v>
      </c>
      <c r="I38" s="175">
        <f>VLOOKUP($D38,'2024Data to Complete Appendix C'!$C$8:$Q$313,5,FALSE)</f>
        <v>1440</v>
      </c>
      <c r="J38" s="176">
        <f>VLOOKUP($D38,'2024Data to Complete Appendix C'!$C$8:$Q$313,6,FALSE)</f>
        <v>3.0394100000000002</v>
      </c>
      <c r="K38" s="176">
        <f>VLOOKUP($D38,'2024Data to Complete Appendix C'!$C$8:$Q$313,7,FALSE)</f>
        <v>1.95</v>
      </c>
      <c r="L38" s="176">
        <f>VLOOKUP($D38,'2024Data to Complete Appendix C'!$C$8:$Q$313,8,FALSE)</f>
        <v>1.09538</v>
      </c>
      <c r="M38" s="175">
        <f>VLOOKUP($D38,'2024Data to Complete Appendix C'!$C$8:$Q$313,9,FALSE)</f>
        <v>150.9</v>
      </c>
      <c r="N38" s="176">
        <f>VLOOKUP($D38,'2024Data to Complete Appendix C'!$C$8:$Q$313,10,FALSE)</f>
        <v>0.12942799999999999</v>
      </c>
      <c r="O38" s="177">
        <f>VLOOKUP($D38,'2024Data to Complete Appendix C'!$C$8:$Q$313,11,FALSE)</f>
        <v>0.56699999999999995</v>
      </c>
      <c r="P38" s="177">
        <f>VLOOKUP($D38,'2024Data to Complete Appendix C'!$C$8:$Q$313,12,FALSE)</f>
        <v>0.77268000000000003</v>
      </c>
      <c r="Q38" s="177">
        <f>VLOOKUP($D38,'2024Data to Complete Appendix C'!$C$8:$Q$313,13,FALSE)</f>
        <v>0.55268598700000005</v>
      </c>
      <c r="R38" s="176">
        <f>VLOOKUP($D38,'2024Data to Complete Appendix C'!$C$8:$Q$313,14,FALSE)</f>
        <v>2.2999999999999998</v>
      </c>
      <c r="S38" s="177">
        <f>VLOOKUP($D38,'2024Data to Complete Appendix C'!$C$8:$Q$313,15,FALSE)</f>
        <v>-0.86705200000000004</v>
      </c>
      <c r="T38" s="175">
        <f>IFERROR(VLOOKUP($D38,'2024_Lodging_by_WUP'!$A:$D,4,FALSE),0)</f>
        <v>0</v>
      </c>
      <c r="U38" s="175">
        <f t="shared" si="0"/>
        <v>0</v>
      </c>
      <c r="V38" s="178">
        <f>IFERROR(VLOOKUP($D38,Total_DU!$B$5:$AB$171,24,0),0)</f>
        <v>1399</v>
      </c>
      <c r="W38" s="178">
        <f>IFERROR(VLOOKUP($D38,Total_DU!$B$5:$AB$174,25,0),0)</f>
        <v>1399</v>
      </c>
      <c r="X38" s="178">
        <f>IFERROR(VLOOKUP($D38,Total_DU!$B$5:$AB$174,26,0),0)</f>
        <v>1399</v>
      </c>
      <c r="Y38" s="178">
        <f>IFERROR(VLOOKUP($D38,Total_DU!$B$5:$AB$174,27,0),0)</f>
        <v>1399</v>
      </c>
      <c r="Z38" s="178">
        <f>IFERROR(VLOOKUP($D38,Population!$B$5:$AA$175,23,FALSE),0)</f>
        <v>4657.9913011418748</v>
      </c>
      <c r="AA38" s="178">
        <f>IFERROR(VLOOKUP($D38,Population!$B$5:$AA$175,24,FALSE),0)</f>
        <v>4658</v>
      </c>
      <c r="AB38" s="178">
        <f>IFERROR(VLOOKUP($D38,Population!$B$5:$AA$175,25,FALSE),0)</f>
        <v>4658</v>
      </c>
      <c r="AC38" s="178">
        <f>IFERROR(VLOOKUP($D38,Population!$B$5:$AA$175,26,FALSE),0)</f>
        <v>3974.6087022207266</v>
      </c>
    </row>
    <row r="39" spans="1:29" x14ac:dyDescent="0.2">
      <c r="A39" s="1" t="s">
        <v>396</v>
      </c>
      <c r="B39" s="1" t="s">
        <v>399</v>
      </c>
      <c r="C39" s="1" t="s">
        <v>400</v>
      </c>
      <c r="D39" s="1">
        <v>4461</v>
      </c>
      <c r="E39" s="1">
        <v>2024</v>
      </c>
      <c r="F39" s="175">
        <f>VLOOKUP($D39,'2024Data to Complete Appendix C'!$C$8:$Q$313,2,FALSE)</f>
        <v>8030</v>
      </c>
      <c r="G39" s="175">
        <f>VLOOKUP($D39,'2024Data to Complete Appendix C'!$C$8:$Q$313,3,FALSE)</f>
        <v>2729</v>
      </c>
      <c r="H39" s="175">
        <f>VLOOKUP($D39,'2024Data to Complete Appendix C'!$C$8:$Q$313,4,FALSE)</f>
        <v>174</v>
      </c>
      <c r="I39" s="175">
        <f>VLOOKUP($D39,'2024Data to Complete Appendix C'!$C$8:$Q$313,5,FALSE)</f>
        <v>3023</v>
      </c>
      <c r="J39" s="176">
        <f>VLOOKUP($D39,'2024Data to Complete Appendix C'!$C$8:$Q$313,6,FALSE)</f>
        <v>2.9424700000000001</v>
      </c>
      <c r="K39" s="176">
        <f>VLOOKUP($D39,'2024Data to Complete Appendix C'!$C$8:$Q$313,7,FALSE)</f>
        <v>1.95</v>
      </c>
      <c r="L39" s="176">
        <f>VLOOKUP($D39,'2024Data to Complete Appendix C'!$C$8:$Q$313,8,FALSE)</f>
        <v>1.03556</v>
      </c>
      <c r="M39" s="175">
        <f>VLOOKUP($D39,'2024Data to Complete Appendix C'!$C$8:$Q$313,9,FALSE)</f>
        <v>146.43899999999999</v>
      </c>
      <c r="N39" s="176">
        <f>VLOOKUP($D39,'2024Data to Complete Appendix C'!$C$8:$Q$313,10,FALSE)</f>
        <v>5.0927600000000003E-2</v>
      </c>
      <c r="O39" s="177">
        <f>VLOOKUP($D39,'2024Data to Complete Appendix C'!$C$8:$Q$313,11,FALSE)</f>
        <v>0.56699999999999995</v>
      </c>
      <c r="P39" s="177">
        <f>VLOOKUP($D39,'2024Data to Complete Appendix C'!$C$8:$Q$313,12,FALSE)</f>
        <v>0.77268000000000003</v>
      </c>
      <c r="Q39" s="177">
        <f>VLOOKUP($D39,'2024Data to Complete Appendix C'!$C$8:$Q$313,13,FALSE)</f>
        <v>0.55268598700000005</v>
      </c>
      <c r="R39" s="176">
        <f>VLOOKUP($D39,'2024Data to Complete Appendix C'!$C$8:$Q$313,14,FALSE)</f>
        <v>2.2999999999999998</v>
      </c>
      <c r="S39" s="177">
        <f>VLOOKUP($D39,'2024Data to Complete Appendix C'!$C$8:$Q$313,15,FALSE)</f>
        <v>-0.75896699999999995</v>
      </c>
      <c r="T39" s="175">
        <f>IFERROR(VLOOKUP($D39,'2024_Lodging_by_WUP'!$A:$D,4,FALSE),0)</f>
        <v>35</v>
      </c>
      <c r="U39" s="175">
        <f t="shared" si="0"/>
        <v>44.491221953500002</v>
      </c>
      <c r="V39" s="178">
        <f>IFERROR(VLOOKUP($D39,Total_DU!$B$5:$AB$171,24,0),0)</f>
        <v>2087</v>
      </c>
      <c r="W39" s="178">
        <f>IFERROR(VLOOKUP($D39,Total_DU!$B$5:$AB$174,25,0),0)</f>
        <v>2188</v>
      </c>
      <c r="X39" s="178">
        <f>IFERROR(VLOOKUP($D39,Total_DU!$B$5:$AB$174,26,0),0)</f>
        <v>2211</v>
      </c>
      <c r="Y39" s="178">
        <f>IFERROR(VLOOKUP($D39,Total_DU!$B$5:$AB$174,27,0),0)</f>
        <v>2227</v>
      </c>
      <c r="Z39" s="178">
        <f>IFERROR(VLOOKUP($D39,Population!$B$5:$AA$175,23,FALSE),0)</f>
        <v>6490.1482385070567</v>
      </c>
      <c r="AA39" s="178">
        <f>IFERROR(VLOOKUP($D39,Population!$B$5:$AA$175,24,FALSE),0)</f>
        <v>6776</v>
      </c>
      <c r="AB39" s="178">
        <f>IFERROR(VLOOKUP($D39,Population!$B$5:$AA$175,25,FALSE),0)</f>
        <v>6851</v>
      </c>
      <c r="AC39" s="178">
        <f>IFERROR(VLOOKUP($D39,Population!$B$5:$AA$175,26,FALSE),0)</f>
        <v>6562.420853536647</v>
      </c>
    </row>
    <row r="40" spans="1:29" x14ac:dyDescent="0.2">
      <c r="A40" s="1" t="s">
        <v>396</v>
      </c>
      <c r="B40" s="1" t="s">
        <v>401</v>
      </c>
      <c r="C40" s="1" t="s">
        <v>402</v>
      </c>
      <c r="D40" s="1">
        <v>7022</v>
      </c>
      <c r="E40" s="1">
        <v>2024</v>
      </c>
      <c r="F40" s="175">
        <f>VLOOKUP($D40,'2024Data to Complete Appendix C'!$C$8:$Q$313,2,FALSE)</f>
        <v>27</v>
      </c>
      <c r="G40" s="175">
        <f>VLOOKUP($D40,'2024Data to Complete Appendix C'!$C$8:$Q$313,3,FALSE)</f>
        <v>12</v>
      </c>
      <c r="H40" s="175">
        <f>VLOOKUP($D40,'2024Data to Complete Appendix C'!$C$8:$Q$313,4,FALSE)</f>
        <v>0</v>
      </c>
      <c r="I40" s="175">
        <f>VLOOKUP($D40,'2024Data to Complete Appendix C'!$C$8:$Q$313,5,FALSE)</f>
        <v>12</v>
      </c>
      <c r="J40" s="176">
        <f>VLOOKUP($D40,'2024Data to Complete Appendix C'!$C$8:$Q$313,6,FALSE)</f>
        <v>2.25</v>
      </c>
      <c r="K40" s="176">
        <f>VLOOKUP($D40,'2024Data to Complete Appendix C'!$C$8:$Q$313,7,FALSE)</f>
        <v>1.95</v>
      </c>
      <c r="L40" s="176">
        <f>VLOOKUP($D40,'2024Data to Complete Appendix C'!$C$8:$Q$313,8,FALSE)</f>
        <v>1.03556</v>
      </c>
      <c r="M40" s="175">
        <f>VLOOKUP($D40,'2024Data to Complete Appendix C'!$C$8:$Q$313,9,FALSE)</f>
        <v>0.49238999999999999</v>
      </c>
      <c r="N40" s="176">
        <f>VLOOKUP($D40,'2024Data to Complete Appendix C'!$C$8:$Q$313,10,FALSE)</f>
        <v>3.9414900000000003E-2</v>
      </c>
      <c r="O40" s="177">
        <f>VLOOKUP($D40,'2024Data to Complete Appendix C'!$C$8:$Q$313,11,FALSE)</f>
        <v>0.56699999999999995</v>
      </c>
      <c r="P40" s="177">
        <f>VLOOKUP($D40,'2024Data to Complete Appendix C'!$C$8:$Q$313,12,FALSE)</f>
        <v>0.77268000000000003</v>
      </c>
      <c r="Q40" s="177">
        <f>VLOOKUP($D40,'2024Data to Complete Appendix C'!$C$8:$Q$313,13,FALSE)</f>
        <v>0.55268598700000005</v>
      </c>
      <c r="R40" s="176">
        <f>VLOOKUP($D40,'2024Data to Complete Appendix C'!$C$8:$Q$313,14,FALSE)</f>
        <v>2.2999999999999998</v>
      </c>
      <c r="S40" s="177">
        <f>VLOOKUP($D40,'2024Data to Complete Appendix C'!$C$8:$Q$313,15,FALSE)</f>
        <v>-0.55482500000000001</v>
      </c>
      <c r="T40" s="175">
        <f>IFERROR(VLOOKUP($D40,'2024_Lodging_by_WUP'!$A:$D,4,FALSE),0)</f>
        <v>0</v>
      </c>
      <c r="U40" s="175">
        <f t="shared" si="0"/>
        <v>0</v>
      </c>
      <c r="V40" s="178">
        <f>IFERROR(VLOOKUP($D40,Total_DU!$B$5:$AB$171,24,0),0)</f>
        <v>0</v>
      </c>
      <c r="W40" s="178">
        <f>IFERROR(VLOOKUP($D40,Total_DU!$B$5:$AB$174,25,0),0)</f>
        <v>0</v>
      </c>
      <c r="X40" s="178">
        <f>IFERROR(VLOOKUP($D40,Total_DU!$B$5:$AB$174,26,0),0)</f>
        <v>0</v>
      </c>
      <c r="Y40" s="178">
        <f>IFERROR(VLOOKUP($D40,Total_DU!$B$5:$AB$174,27,0),0)</f>
        <v>0</v>
      </c>
      <c r="Z40" s="178">
        <f>IFERROR(VLOOKUP($D40,Population!$B$5:$AA$175,23,FALSE),0)</f>
        <v>0</v>
      </c>
      <c r="AA40" s="178">
        <f>IFERROR(VLOOKUP($D40,Population!$B$5:$AA$175,24,FALSE),0)</f>
        <v>0</v>
      </c>
      <c r="AB40" s="178">
        <f>IFERROR(VLOOKUP($D40,Population!$B$5:$AA$175,25,FALSE),0)</f>
        <v>0</v>
      </c>
      <c r="AC40" s="178">
        <f>IFERROR(VLOOKUP($D40,Population!$B$5:$AA$175,26,FALSE),0)</f>
        <v>0</v>
      </c>
    </row>
    <row r="41" spans="1:29" x14ac:dyDescent="0.2">
      <c r="A41" s="1" t="s">
        <v>396</v>
      </c>
      <c r="B41" s="1" t="s">
        <v>403</v>
      </c>
      <c r="C41" s="1" t="s">
        <v>404</v>
      </c>
      <c r="D41" s="1">
        <v>7658</v>
      </c>
      <c r="E41" s="1">
        <v>2024</v>
      </c>
      <c r="F41" s="175">
        <f>VLOOKUP($D41,'2024Data to Complete Appendix C'!$C$8:$Q$313,2,FALSE)</f>
        <v>1898</v>
      </c>
      <c r="G41" s="175">
        <f>VLOOKUP($D41,'2024Data to Complete Appendix C'!$C$8:$Q$313,3,FALSE)</f>
        <v>605</v>
      </c>
      <c r="H41" s="175">
        <f>VLOOKUP($D41,'2024Data to Complete Appendix C'!$C$8:$Q$313,4,FALSE)</f>
        <v>6</v>
      </c>
      <c r="I41" s="175">
        <f>VLOOKUP($D41,'2024Data to Complete Appendix C'!$C$8:$Q$313,5,FALSE)</f>
        <v>756</v>
      </c>
      <c r="J41" s="176">
        <f>VLOOKUP($D41,'2024Data to Complete Appendix C'!$C$8:$Q$313,6,FALSE)</f>
        <v>3.1371899999999999</v>
      </c>
      <c r="K41" s="176">
        <f>VLOOKUP($D41,'2024Data to Complete Appendix C'!$C$8:$Q$313,7,FALSE)</f>
        <v>1.95</v>
      </c>
      <c r="L41" s="176">
        <f>VLOOKUP($D41,'2024Data to Complete Appendix C'!$C$8:$Q$313,8,FALSE)</f>
        <v>1.18065</v>
      </c>
      <c r="M41" s="175">
        <f>VLOOKUP($D41,'2024Data to Complete Appendix C'!$C$8:$Q$313,9,FALSE)</f>
        <v>175.828</v>
      </c>
      <c r="N41" s="176">
        <f>VLOOKUP($D41,'2024Data to Complete Appendix C'!$C$8:$Q$313,10,FALSE)</f>
        <v>0.22518199999999999</v>
      </c>
      <c r="O41" s="177">
        <f>VLOOKUP($D41,'2024Data to Complete Appendix C'!$C$8:$Q$313,11,FALSE)</f>
        <v>0.56699999999999995</v>
      </c>
      <c r="P41" s="177">
        <f>VLOOKUP($D41,'2024Data to Complete Appendix C'!$C$8:$Q$313,12,FALSE)</f>
        <v>0.77268000000000003</v>
      </c>
      <c r="Q41" s="177">
        <f>VLOOKUP($D41,'2024Data to Complete Appendix C'!$C$8:$Q$313,13,FALSE)</f>
        <v>0.55268598700000005</v>
      </c>
      <c r="R41" s="176">
        <f>VLOOKUP($D41,'2024Data to Complete Appendix C'!$C$8:$Q$313,14,FALSE)</f>
        <v>2.2999999999999998</v>
      </c>
      <c r="S41" s="177">
        <f>VLOOKUP($D41,'2024Data to Complete Appendix C'!$C$8:$Q$313,15,FALSE)</f>
        <v>-0.91105999999999998</v>
      </c>
      <c r="T41" s="175">
        <f>IFERROR(VLOOKUP($D41,'2024_Lodging_by_WUP'!$A:$D,4,FALSE),0)</f>
        <v>0</v>
      </c>
      <c r="U41" s="175">
        <f t="shared" si="0"/>
        <v>0</v>
      </c>
      <c r="V41" s="178">
        <f>IFERROR(VLOOKUP($D41,Total_DU!$B$5:$AB$171,24,0),0)</f>
        <v>822</v>
      </c>
      <c r="W41" s="178">
        <f>IFERROR(VLOOKUP($D41,Total_DU!$B$5:$AB$174,25,0),0)</f>
        <v>823</v>
      </c>
      <c r="X41" s="178">
        <f>IFERROR(VLOOKUP($D41,Total_DU!$B$5:$AB$174,26,0),0)</f>
        <v>823</v>
      </c>
      <c r="Y41" s="178">
        <f>IFERROR(VLOOKUP($D41,Total_DU!$B$5:$AB$174,27,0),0)</f>
        <v>827</v>
      </c>
      <c r="Z41" s="178">
        <f>IFERROR(VLOOKUP($D41,Population!$B$5:$AA$175,23,FALSE),0)</f>
        <v>2499</v>
      </c>
      <c r="AA41" s="178">
        <f>IFERROR(VLOOKUP($D41,Population!$B$5:$AA$175,24,FALSE),0)</f>
        <v>2505</v>
      </c>
      <c r="AB41" s="178">
        <f>IFERROR(VLOOKUP($D41,Population!$B$5:$AA$175,25,FALSE),0)</f>
        <v>2505</v>
      </c>
      <c r="AC41" s="178">
        <f>IFERROR(VLOOKUP($D41,Population!$B$5:$AA$175,26,FALSE),0)</f>
        <v>2297.3838628628037</v>
      </c>
    </row>
    <row r="42" spans="1:29" x14ac:dyDescent="0.2">
      <c r="A42" s="1" t="s">
        <v>396</v>
      </c>
      <c r="B42" s="1" t="s">
        <v>405</v>
      </c>
      <c r="C42" s="1" t="s">
        <v>406</v>
      </c>
      <c r="D42" s="1">
        <v>13026</v>
      </c>
      <c r="E42" s="1">
        <v>2024</v>
      </c>
      <c r="F42" s="175">
        <f>VLOOKUP($D42,'2024Data to Complete Appendix C'!$C$8:$Q$313,2,FALSE)</f>
        <v>3068</v>
      </c>
      <c r="G42" s="175">
        <f>VLOOKUP($D42,'2024Data to Complete Appendix C'!$C$8:$Q$313,3,FALSE)</f>
        <v>1135</v>
      </c>
      <c r="H42" s="175">
        <f>VLOOKUP($D42,'2024Data to Complete Appendix C'!$C$8:$Q$313,4,FALSE)</f>
        <v>0</v>
      </c>
      <c r="I42" s="175">
        <f>VLOOKUP($D42,'2024Data to Complete Appendix C'!$C$8:$Q$313,5,FALSE)</f>
        <v>1435</v>
      </c>
      <c r="J42" s="176">
        <f>VLOOKUP($D42,'2024Data to Complete Appendix C'!$C$8:$Q$313,6,FALSE)</f>
        <v>2.7030799999999999</v>
      </c>
      <c r="K42" s="176">
        <f>VLOOKUP($D42,'2024Data to Complete Appendix C'!$C$8:$Q$313,7,FALSE)</f>
        <v>1.95</v>
      </c>
      <c r="L42" s="176">
        <f>VLOOKUP($D42,'2024Data to Complete Appendix C'!$C$8:$Q$313,8,FALSE)</f>
        <v>1.0625100000000001</v>
      </c>
      <c r="M42" s="175">
        <f>VLOOKUP($D42,'2024Data to Complete Appendix C'!$C$8:$Q$313,9,FALSE)</f>
        <v>98.3536</v>
      </c>
      <c r="N42" s="176">
        <f>VLOOKUP($D42,'2024Data to Complete Appendix C'!$C$8:$Q$313,10,FALSE)</f>
        <v>7.9744800000000005E-2</v>
      </c>
      <c r="O42" s="177">
        <f>VLOOKUP($D42,'2024Data to Complete Appendix C'!$C$8:$Q$313,11,FALSE)</f>
        <v>0.56699999999999995</v>
      </c>
      <c r="P42" s="177">
        <f>VLOOKUP($D42,'2024Data to Complete Appendix C'!$C$8:$Q$313,12,FALSE)</f>
        <v>0.77268000000000003</v>
      </c>
      <c r="Q42" s="177">
        <f>VLOOKUP($D42,'2024Data to Complete Appendix C'!$C$8:$Q$313,13,FALSE)</f>
        <v>0.55268598700000005</v>
      </c>
      <c r="R42" s="176">
        <f>VLOOKUP($D42,'2024Data to Complete Appendix C'!$C$8:$Q$313,14,FALSE)</f>
        <v>2.2999999999999998</v>
      </c>
      <c r="S42" s="177">
        <f>VLOOKUP($D42,'2024Data to Complete Appendix C'!$C$8:$Q$313,15,FALSE)</f>
        <v>-0.96522399999999997</v>
      </c>
      <c r="T42" s="175">
        <f>IFERROR(VLOOKUP($D42,'2024_Lodging_by_WUP'!$A:$D,4,FALSE),0)</f>
        <v>50</v>
      </c>
      <c r="U42" s="175">
        <f t="shared" si="0"/>
        <v>63.558888504999999</v>
      </c>
      <c r="V42" s="178">
        <f>IFERROR(VLOOKUP($D42,Total_DU!$B$5:$AB$171,24,0),0)</f>
        <v>906</v>
      </c>
      <c r="W42" s="178">
        <f>IFERROR(VLOOKUP($D42,Total_DU!$B$5:$AB$174,25,0),0)</f>
        <v>950</v>
      </c>
      <c r="X42" s="178">
        <f>IFERROR(VLOOKUP($D42,Total_DU!$B$5:$AB$174,26,0),0)</f>
        <v>975</v>
      </c>
      <c r="Y42" s="178">
        <f>IFERROR(VLOOKUP($D42,Total_DU!$B$5:$AB$174,27,0),0)</f>
        <v>1135</v>
      </c>
      <c r="Z42" s="178">
        <f>IFERROR(VLOOKUP($D42,Population!$B$5:$AA$175,23,FALSE),0)</f>
        <v>2912.9619671736637</v>
      </c>
      <c r="AA42" s="178">
        <f>IFERROR(VLOOKUP($D42,Population!$B$5:$AA$175,24,FALSE),0)</f>
        <v>3038</v>
      </c>
      <c r="AB42" s="178">
        <f>IFERROR(VLOOKUP($D42,Population!$B$5:$AA$175,25,FALSE),0)</f>
        <v>3117</v>
      </c>
      <c r="AC42" s="178">
        <f>IFERROR(VLOOKUP($D42,Population!$B$5:$AA$175,26,FALSE),0)</f>
        <v>3022.8513657247549</v>
      </c>
    </row>
    <row r="43" spans="1:29" x14ac:dyDescent="0.2">
      <c r="A43" s="1" t="s">
        <v>407</v>
      </c>
      <c r="B43" s="1" t="s">
        <v>408</v>
      </c>
      <c r="C43" s="1" t="s">
        <v>409</v>
      </c>
      <c r="D43" s="1">
        <v>3720</v>
      </c>
      <c r="E43" s="1">
        <v>2024</v>
      </c>
      <c r="F43" s="175">
        <f>VLOOKUP($D43,'2024Data to Complete Appendix C'!$C$8:$Q$313,2,FALSE)</f>
        <v>270</v>
      </c>
      <c r="G43" s="175">
        <f>VLOOKUP($D43,'2024Data to Complete Appendix C'!$C$8:$Q$313,3,FALSE)</f>
        <v>138</v>
      </c>
      <c r="H43" s="175">
        <f>VLOOKUP($D43,'2024Data to Complete Appendix C'!$C$8:$Q$313,4,FALSE)</f>
        <v>0</v>
      </c>
      <c r="I43" s="175">
        <f>VLOOKUP($D43,'2024Data to Complete Appendix C'!$C$8:$Q$313,5,FALSE)</f>
        <v>201</v>
      </c>
      <c r="J43" s="176">
        <f>VLOOKUP($D43,'2024Data to Complete Appendix C'!$C$8:$Q$313,6,FALSE)</f>
        <v>1.95652</v>
      </c>
      <c r="K43" s="176">
        <f>VLOOKUP($D43,'2024Data to Complete Appendix C'!$C$8:$Q$313,7,FALSE)</f>
        <v>1.95</v>
      </c>
      <c r="L43" s="176">
        <f>VLOOKUP($D43,'2024Data to Complete Appendix C'!$C$8:$Q$313,8,FALSE)</f>
        <v>1.11094</v>
      </c>
      <c r="M43" s="175">
        <f>VLOOKUP($D43,'2024Data to Complete Appendix C'!$C$8:$Q$313,9,FALSE)</f>
        <v>15.361000000000001</v>
      </c>
      <c r="N43" s="176">
        <f>VLOOKUP($D43,'2024Data to Complete Appendix C'!$C$8:$Q$313,10,FALSE)</f>
        <v>0.100162</v>
      </c>
      <c r="O43" s="177">
        <f>VLOOKUP($D43,'2024Data to Complete Appendix C'!$C$8:$Q$313,11,FALSE)</f>
        <v>0.56699999999999995</v>
      </c>
      <c r="P43" s="177">
        <f>VLOOKUP($D43,'2024Data to Complete Appendix C'!$C$8:$Q$313,12,FALSE)</f>
        <v>0.77268000000000003</v>
      </c>
      <c r="Q43" s="177">
        <f>VLOOKUP($D43,'2024Data to Complete Appendix C'!$C$8:$Q$313,13,FALSE)</f>
        <v>0.66836773400000005</v>
      </c>
      <c r="R43" s="176">
        <f>VLOOKUP($D43,'2024Data to Complete Appendix C'!$C$8:$Q$313,14,FALSE)</f>
        <v>2.2999999999999998</v>
      </c>
      <c r="S43" s="177">
        <f>VLOOKUP($D43,'2024Data to Complete Appendix C'!$C$8:$Q$313,15,FALSE)</f>
        <v>0.324494</v>
      </c>
      <c r="T43" s="175">
        <f>IFERROR(VLOOKUP($D43,'2024_Lodging_by_WUP'!$A:$D,4,FALSE),0)</f>
        <v>0</v>
      </c>
      <c r="U43" s="175">
        <f t="shared" si="0"/>
        <v>0</v>
      </c>
      <c r="V43" s="178">
        <f>IFERROR(VLOOKUP($D43,Total_DU!$B$5:$AB$171,24,0),0)</f>
        <v>0</v>
      </c>
      <c r="W43" s="178">
        <f>IFERROR(VLOOKUP($D43,Total_DU!$B$5:$AB$174,25,0),0)</f>
        <v>0</v>
      </c>
      <c r="X43" s="178">
        <f>IFERROR(VLOOKUP($D43,Total_DU!$B$5:$AB$174,26,0),0)</f>
        <v>0</v>
      </c>
      <c r="Y43" s="178">
        <f>IFERROR(VLOOKUP($D43,Total_DU!$B$5:$AB$174,27,0),0)</f>
        <v>0</v>
      </c>
      <c r="Z43" s="178">
        <f>IFERROR(VLOOKUP($D43,Population!$B$5:$AA$175,23,FALSE),0)</f>
        <v>0</v>
      </c>
      <c r="AA43" s="178">
        <f>IFERROR(VLOOKUP($D43,Population!$B$5:$AA$175,24,FALSE),0)</f>
        <v>0</v>
      </c>
      <c r="AB43" s="178">
        <f>IFERROR(VLOOKUP($D43,Population!$B$5:$AA$175,25,FALSE),0)</f>
        <v>0</v>
      </c>
      <c r="AC43" s="178">
        <f>IFERROR(VLOOKUP($D43,Population!$B$5:$AA$175,26,FALSE),0)</f>
        <v>0</v>
      </c>
    </row>
    <row r="44" spans="1:29" x14ac:dyDescent="0.2">
      <c r="A44" s="1" t="s">
        <v>407</v>
      </c>
      <c r="B44" s="1" t="s">
        <v>410</v>
      </c>
      <c r="C44" s="1" t="s">
        <v>411</v>
      </c>
      <c r="D44" s="1">
        <v>5789</v>
      </c>
      <c r="E44" s="1">
        <v>2024</v>
      </c>
      <c r="F44" s="175">
        <f>VLOOKUP($D44,'2024Data to Complete Appendix C'!$C$8:$Q$313,2,FALSE)</f>
        <v>150994</v>
      </c>
      <c r="G44" s="175">
        <f>VLOOKUP($D44,'2024Data to Complete Appendix C'!$C$8:$Q$313,3,FALSE)</f>
        <v>63180</v>
      </c>
      <c r="H44" s="175">
        <f>VLOOKUP($D44,'2024Data to Complete Appendix C'!$C$8:$Q$313,4,FALSE)</f>
        <v>1667</v>
      </c>
      <c r="I44" s="175">
        <f>VLOOKUP($D44,'2024Data to Complete Appendix C'!$C$8:$Q$313,5,FALSE)</f>
        <v>70034</v>
      </c>
      <c r="J44" s="176">
        <f>VLOOKUP($D44,'2024Data to Complete Appendix C'!$C$8:$Q$313,6,FALSE)</f>
        <v>2.3898999999999999</v>
      </c>
      <c r="K44" s="176">
        <f>VLOOKUP($D44,'2024Data to Complete Appendix C'!$C$8:$Q$313,7,FALSE)</f>
        <v>1.95</v>
      </c>
      <c r="L44" s="176">
        <f>VLOOKUP($D44,'2024Data to Complete Appendix C'!$C$8:$Q$313,8,FALSE)</f>
        <v>1.08327</v>
      </c>
      <c r="M44" s="175">
        <f>VLOOKUP($D44,'2024Data to Complete Appendix C'!$C$8:$Q$313,9,FALSE)</f>
        <v>6448.1</v>
      </c>
      <c r="N44" s="176">
        <f>VLOOKUP($D44,'2024Data to Complete Appendix C'!$C$8:$Q$313,10,FALSE)</f>
        <v>9.2607700000000001E-2</v>
      </c>
      <c r="O44" s="177">
        <f>VLOOKUP($D44,'2024Data to Complete Appendix C'!$C$8:$Q$313,11,FALSE)</f>
        <v>0.56699999999999995</v>
      </c>
      <c r="P44" s="177">
        <f>VLOOKUP($D44,'2024Data to Complete Appendix C'!$C$8:$Q$313,12,FALSE)</f>
        <v>0.77268000000000003</v>
      </c>
      <c r="Q44" s="177">
        <f>VLOOKUP($D44,'2024Data to Complete Appendix C'!$C$8:$Q$313,13,FALSE)</f>
        <v>0.66836773400000005</v>
      </c>
      <c r="R44" s="176">
        <f>VLOOKUP($D44,'2024Data to Complete Appendix C'!$C$8:$Q$313,14,FALSE)</f>
        <v>2.2999999999999998</v>
      </c>
      <c r="S44" s="177">
        <f>VLOOKUP($D44,'2024Data to Complete Appendix C'!$C$8:$Q$313,15,FALSE)</f>
        <v>-0.24301800000000001</v>
      </c>
      <c r="T44" s="175">
        <f>IFERROR(VLOOKUP($D44,'2024_Lodging_by_WUP'!$A:$D,4,FALSE),0)</f>
        <v>1278</v>
      </c>
      <c r="U44" s="175">
        <f t="shared" si="0"/>
        <v>1964.6001173196</v>
      </c>
      <c r="V44" s="178">
        <f>IFERROR(VLOOKUP($D44,Total_DU!$B$5:$AB$171,24,0),0)</f>
        <v>64197</v>
      </c>
      <c r="W44" s="178">
        <f>IFERROR(VLOOKUP($D44,Total_DU!$B$5:$AB$174,25,0),0)</f>
        <v>65530</v>
      </c>
      <c r="X44" s="178">
        <f>IFERROR(VLOOKUP($D44,Total_DU!$B$5:$AB$174,26,0),0)</f>
        <v>66598</v>
      </c>
      <c r="Y44" s="178">
        <f>IFERROR(VLOOKUP($D44,Total_DU!$B$5:$AB$174,27,0),0)</f>
        <v>67355</v>
      </c>
      <c r="Z44" s="178">
        <f>IFERROR(VLOOKUP($D44,Population!$B$5:$AA$175,23,FALSE),0)</f>
        <v>149003.1910685882</v>
      </c>
      <c r="AA44" s="178">
        <f>IFERROR(VLOOKUP($D44,Population!$B$5:$AA$175,24,FALSE),0)</f>
        <v>151827</v>
      </c>
      <c r="AB44" s="178">
        <f>IFERROR(VLOOKUP($D44,Population!$B$5:$AA$175,25,FALSE),0)</f>
        <v>154716</v>
      </c>
      <c r="AC44" s="178">
        <f>IFERROR(VLOOKUP($D44,Population!$B$5:$AA$175,26,FALSE),0)</f>
        <v>159114.88337925292</v>
      </c>
    </row>
    <row r="45" spans="1:29" x14ac:dyDescent="0.2">
      <c r="A45" s="1" t="s">
        <v>407</v>
      </c>
      <c r="B45" s="1" t="s">
        <v>412</v>
      </c>
      <c r="C45" s="1" t="s">
        <v>413</v>
      </c>
      <c r="D45" s="1">
        <v>7627</v>
      </c>
      <c r="E45" s="1">
        <v>2024</v>
      </c>
      <c r="F45" s="175">
        <f>VLOOKUP($D45,'2024Data to Complete Appendix C'!$C$8:$Q$313,2,FALSE)</f>
        <v>20405</v>
      </c>
      <c r="G45" s="175">
        <f>VLOOKUP($D45,'2024Data to Complete Appendix C'!$C$8:$Q$313,3,FALSE)</f>
        <v>9107</v>
      </c>
      <c r="H45" s="175">
        <f>VLOOKUP($D45,'2024Data to Complete Appendix C'!$C$8:$Q$313,4,FALSE)</f>
        <v>372</v>
      </c>
      <c r="I45" s="175">
        <f>VLOOKUP($D45,'2024Data to Complete Appendix C'!$C$8:$Q$313,5,FALSE)</f>
        <v>10455</v>
      </c>
      <c r="J45" s="176">
        <f>VLOOKUP($D45,'2024Data to Complete Appendix C'!$C$8:$Q$313,6,FALSE)</f>
        <v>2.24058</v>
      </c>
      <c r="K45" s="176">
        <f>VLOOKUP($D45,'2024Data to Complete Appendix C'!$C$8:$Q$313,7,FALSE)</f>
        <v>1.95</v>
      </c>
      <c r="L45" s="176">
        <f>VLOOKUP($D45,'2024Data to Complete Appendix C'!$C$8:$Q$313,8,FALSE)</f>
        <v>1.1001099999999999</v>
      </c>
      <c r="M45" s="175">
        <f>VLOOKUP($D45,'2024Data to Complete Appendix C'!$C$8:$Q$313,9,FALSE)</f>
        <v>1047.58</v>
      </c>
      <c r="N45" s="176">
        <f>VLOOKUP($D45,'2024Data to Complete Appendix C'!$C$8:$Q$313,10,FALSE)</f>
        <v>0.103163</v>
      </c>
      <c r="O45" s="177">
        <f>VLOOKUP($D45,'2024Data to Complete Appendix C'!$C$8:$Q$313,11,FALSE)</f>
        <v>0.56699999999999995</v>
      </c>
      <c r="P45" s="177">
        <f>VLOOKUP($D45,'2024Data to Complete Appendix C'!$C$8:$Q$313,12,FALSE)</f>
        <v>0.77268000000000003</v>
      </c>
      <c r="Q45" s="177">
        <f>VLOOKUP($D45,'2024Data to Complete Appendix C'!$C$8:$Q$313,13,FALSE)</f>
        <v>0.66836773400000005</v>
      </c>
      <c r="R45" s="176">
        <f>VLOOKUP($D45,'2024Data to Complete Appendix C'!$C$8:$Q$313,14,FALSE)</f>
        <v>2.2999999999999998</v>
      </c>
      <c r="S45" s="177">
        <f>VLOOKUP($D45,'2024Data to Complete Appendix C'!$C$8:$Q$313,15,FALSE)</f>
        <v>0.43797199999999997</v>
      </c>
      <c r="T45" s="175">
        <f>IFERROR(VLOOKUP($D45,'2024_Lodging_by_WUP'!$A:$D,4,FALSE),0)</f>
        <v>69</v>
      </c>
      <c r="U45" s="175">
        <f t="shared" si="0"/>
        <v>106.0699593858</v>
      </c>
      <c r="V45" s="178">
        <f>IFERROR(VLOOKUP($D45,Total_DU!$B$5:$AB$171,24,0),0)</f>
        <v>7726</v>
      </c>
      <c r="W45" s="178">
        <f>IFERROR(VLOOKUP($D45,Total_DU!$B$5:$AB$174,25,0),0)</f>
        <v>7274</v>
      </c>
      <c r="X45" s="178">
        <f>IFERROR(VLOOKUP($D45,Total_DU!$B$5:$AB$174,26,0),0)</f>
        <v>6686</v>
      </c>
      <c r="Y45" s="178">
        <f>IFERROR(VLOOKUP($D45,Total_DU!$B$5:$AB$174,27,0),0)</f>
        <v>6794</v>
      </c>
      <c r="Z45" s="178">
        <f>IFERROR(VLOOKUP($D45,Population!$B$5:$AA$175,23,FALSE),0)</f>
        <v>18308.178008535167</v>
      </c>
      <c r="AA45" s="178">
        <f>IFERROR(VLOOKUP($D45,Population!$B$5:$AA$175,24,FALSE),0)</f>
        <v>17232</v>
      </c>
      <c r="AB45" s="178">
        <f>IFERROR(VLOOKUP($D45,Population!$B$5:$AA$175,25,FALSE),0)</f>
        <v>15827</v>
      </c>
      <c r="AC45" s="178">
        <f>IFERROR(VLOOKUP($D45,Population!$B$5:$AA$175,26,FALSE),0)</f>
        <v>15768.9920471595</v>
      </c>
    </row>
    <row r="46" spans="1:29" x14ac:dyDescent="0.2">
      <c r="A46" s="1" t="s">
        <v>414</v>
      </c>
      <c r="B46" s="1" t="s">
        <v>415</v>
      </c>
      <c r="C46" s="1" t="s">
        <v>416</v>
      </c>
      <c r="D46" s="1">
        <v>4167</v>
      </c>
      <c r="E46" s="1">
        <v>2024</v>
      </c>
      <c r="F46" s="175">
        <f>VLOOKUP($D46,'2024Data to Complete Appendix C'!$C$8:$Q$313,2,FALSE)</f>
        <v>1834</v>
      </c>
      <c r="G46" s="175">
        <f>VLOOKUP($D46,'2024Data to Complete Appendix C'!$C$8:$Q$313,3,FALSE)</f>
        <v>840</v>
      </c>
      <c r="H46" s="175">
        <f>VLOOKUP($D46,'2024Data to Complete Appendix C'!$C$8:$Q$313,4,FALSE)</f>
        <v>0</v>
      </c>
      <c r="I46" s="175">
        <f>VLOOKUP($D46,'2024Data to Complete Appendix C'!$C$8:$Q$313,5,FALSE)</f>
        <v>1122</v>
      </c>
      <c r="J46" s="176">
        <f>VLOOKUP($D46,'2024Data to Complete Appendix C'!$C$8:$Q$313,6,FALSE)</f>
        <v>2.1833300000000002</v>
      </c>
      <c r="K46" s="176">
        <f>VLOOKUP($D46,'2024Data to Complete Appendix C'!$C$8:$Q$313,7,FALSE)</f>
        <v>1.95</v>
      </c>
      <c r="L46" s="176">
        <f>VLOOKUP($D46,'2024Data to Complete Appendix C'!$C$8:$Q$313,8,FALSE)</f>
        <v>1.1345000000000001</v>
      </c>
      <c r="M46" s="175">
        <f>VLOOKUP($D46,'2024Data to Complete Appendix C'!$C$8:$Q$313,9,FALSE)</f>
        <v>126.498</v>
      </c>
      <c r="N46" s="176">
        <f>VLOOKUP($D46,'2024Data to Complete Appendix C'!$C$8:$Q$313,10,FALSE)</f>
        <v>0.130883</v>
      </c>
      <c r="O46" s="177">
        <f>VLOOKUP($D46,'2024Data to Complete Appendix C'!$C$8:$Q$313,11,FALSE)</f>
        <v>0.56699999999999995</v>
      </c>
      <c r="P46" s="177">
        <f>VLOOKUP($D46,'2024Data to Complete Appendix C'!$C$8:$Q$313,12,FALSE)</f>
        <v>0.77268000000000003</v>
      </c>
      <c r="Q46" s="177">
        <f>VLOOKUP($D46,'2024Data to Complete Appendix C'!$C$8:$Q$313,13,FALSE)</f>
        <v>0.55268598700000005</v>
      </c>
      <c r="R46" s="176">
        <f>VLOOKUP($D46,'2024Data to Complete Appendix C'!$C$8:$Q$313,14,FALSE)</f>
        <v>2.2999999999999998</v>
      </c>
      <c r="S46" s="177">
        <f>VLOOKUP($D46,'2024Data to Complete Appendix C'!$C$8:$Q$313,15,FALSE)</f>
        <v>-0.10843700000000001</v>
      </c>
      <c r="T46" s="175">
        <f>IFERROR(VLOOKUP($D46,'2024_Lodging_by_WUP'!$A:$D,4,FALSE),0)</f>
        <v>1</v>
      </c>
      <c r="U46" s="175">
        <f t="shared" si="0"/>
        <v>1.2711777701</v>
      </c>
      <c r="V46" s="178">
        <f>IFERROR(VLOOKUP($D46,Total_DU!$B$5:$AB$171,24,0),0)</f>
        <v>661</v>
      </c>
      <c r="W46" s="178">
        <f>IFERROR(VLOOKUP($D46,Total_DU!$B$5:$AB$174,25,0),0)</f>
        <v>672</v>
      </c>
      <c r="X46" s="178">
        <f>IFERROR(VLOOKUP($D46,Total_DU!$B$5:$AB$174,26,0),0)</f>
        <v>908</v>
      </c>
      <c r="Y46" s="178">
        <f>IFERROR(VLOOKUP($D46,Total_DU!$B$5:$AB$174,27,0),0)</f>
        <v>908</v>
      </c>
      <c r="Z46" s="178">
        <f>IFERROR(VLOOKUP($D46,Population!$B$5:$AA$175,23,FALSE),0)</f>
        <v>1381.8783508132044</v>
      </c>
      <c r="AA46" s="178">
        <f>IFERROR(VLOOKUP($D46,Population!$B$5:$AA$175,24,FALSE),0)</f>
        <v>1404</v>
      </c>
      <c r="AB46" s="178">
        <f>IFERROR(VLOOKUP($D46,Population!$B$5:$AA$175,25,FALSE),0)</f>
        <v>1896</v>
      </c>
      <c r="AC46" s="178">
        <f>IFERROR(VLOOKUP($D46,Population!$B$5:$AA$175,26,FALSE),0)</f>
        <v>1893</v>
      </c>
    </row>
    <row r="47" spans="1:29" x14ac:dyDescent="0.2">
      <c r="A47" s="1" t="s">
        <v>414</v>
      </c>
      <c r="B47" s="1" t="s">
        <v>417</v>
      </c>
      <c r="C47" s="1" t="s">
        <v>418</v>
      </c>
      <c r="D47" s="1">
        <v>4492</v>
      </c>
      <c r="E47" s="1">
        <v>2024</v>
      </c>
      <c r="F47" s="175">
        <f>VLOOKUP($D47,'2024Data to Complete Appendix C'!$C$8:$Q$313,2,FALSE)</f>
        <v>39779</v>
      </c>
      <c r="G47" s="175">
        <f>VLOOKUP($D47,'2024Data to Complete Appendix C'!$C$8:$Q$313,3,FALSE)</f>
        <v>18260</v>
      </c>
      <c r="H47" s="175">
        <f>VLOOKUP($D47,'2024Data to Complete Appendix C'!$C$8:$Q$313,4,FALSE)</f>
        <v>712</v>
      </c>
      <c r="I47" s="175">
        <f>VLOOKUP($D47,'2024Data to Complete Appendix C'!$C$8:$Q$313,5,FALSE)</f>
        <v>23025</v>
      </c>
      <c r="J47" s="176">
        <f>VLOOKUP($D47,'2024Data to Complete Appendix C'!$C$8:$Q$313,6,FALSE)</f>
        <v>2.17848</v>
      </c>
      <c r="K47" s="176">
        <f>VLOOKUP($D47,'2024Data to Complete Appendix C'!$C$8:$Q$313,7,FALSE)</f>
        <v>1.95</v>
      </c>
      <c r="L47" s="176">
        <f>VLOOKUP($D47,'2024Data to Complete Appendix C'!$C$8:$Q$313,8,FALSE)</f>
        <v>1.15134</v>
      </c>
      <c r="M47" s="175">
        <f>VLOOKUP($D47,'2024Data to Complete Appendix C'!$C$8:$Q$313,9,FALSE)</f>
        <v>3087.28</v>
      </c>
      <c r="N47" s="176">
        <f>VLOOKUP($D47,'2024Data to Complete Appendix C'!$C$8:$Q$313,10,FALSE)</f>
        <v>0.144622</v>
      </c>
      <c r="O47" s="177">
        <f>VLOOKUP($D47,'2024Data to Complete Appendix C'!$C$8:$Q$313,11,FALSE)</f>
        <v>0.56699999999999995</v>
      </c>
      <c r="P47" s="177">
        <f>VLOOKUP($D47,'2024Data to Complete Appendix C'!$C$8:$Q$313,12,FALSE)</f>
        <v>0.77268000000000003</v>
      </c>
      <c r="Q47" s="177">
        <f>VLOOKUP($D47,'2024Data to Complete Appendix C'!$C$8:$Q$313,13,FALSE)</f>
        <v>0.55268598700000005</v>
      </c>
      <c r="R47" s="176">
        <f>VLOOKUP($D47,'2024Data to Complete Appendix C'!$C$8:$Q$313,14,FALSE)</f>
        <v>2.2999999999999998</v>
      </c>
      <c r="S47" s="177">
        <f>VLOOKUP($D47,'2024Data to Complete Appendix C'!$C$8:$Q$313,15,FALSE)</f>
        <v>-0.20488999999999999</v>
      </c>
      <c r="T47" s="175">
        <f>IFERROR(VLOOKUP($D47,'2024_Lodging_by_WUP'!$A:$D,4,FALSE),0)</f>
        <v>829</v>
      </c>
      <c r="U47" s="175">
        <f t="shared" si="0"/>
        <v>1053.8063714129</v>
      </c>
      <c r="V47" s="178">
        <f>IFERROR(VLOOKUP($D47,Total_DU!$B$5:$AB$171,24,0),0)</f>
        <v>15732</v>
      </c>
      <c r="W47" s="178">
        <f>IFERROR(VLOOKUP($D47,Total_DU!$B$5:$AB$174,25,0),0)</f>
        <v>16632</v>
      </c>
      <c r="X47" s="178">
        <f>IFERROR(VLOOKUP($D47,Total_DU!$B$5:$AB$174,26,0),0)</f>
        <v>16905</v>
      </c>
      <c r="Y47" s="178">
        <f>IFERROR(VLOOKUP($D47,Total_DU!$B$5:$AB$174,27,0),0)</f>
        <v>17107</v>
      </c>
      <c r="Z47" s="178">
        <f>IFERROR(VLOOKUP($D47,Population!$B$5:$AA$175,23,FALSE),0)</f>
        <v>33923.043060566932</v>
      </c>
      <c r="AA47" s="178">
        <f>IFERROR(VLOOKUP($D47,Population!$B$5:$AA$175,24,FALSE),0)</f>
        <v>35743</v>
      </c>
      <c r="AB47" s="178">
        <f>IFERROR(VLOOKUP($D47,Population!$B$5:$AA$175,25,FALSE),0)</f>
        <v>36465</v>
      </c>
      <c r="AC47" s="178">
        <f>IFERROR(VLOOKUP($D47,Population!$B$5:$AA$175,26,FALSE),0)</f>
        <v>37181.021843792565</v>
      </c>
    </row>
    <row r="48" spans="1:29" x14ac:dyDescent="0.2">
      <c r="A48" s="1" t="s">
        <v>414</v>
      </c>
      <c r="B48" s="1" t="s">
        <v>419</v>
      </c>
      <c r="C48" s="1" t="s">
        <v>420</v>
      </c>
      <c r="D48" s="1">
        <v>4670</v>
      </c>
      <c r="E48" s="1">
        <v>2024</v>
      </c>
      <c r="F48" s="175">
        <f>VLOOKUP($D48,'2024Data to Complete Appendix C'!$C$8:$Q$313,2,FALSE)</f>
        <v>735</v>
      </c>
      <c r="G48" s="175">
        <f>VLOOKUP($D48,'2024Data to Complete Appendix C'!$C$8:$Q$313,3,FALSE)</f>
        <v>360</v>
      </c>
      <c r="H48" s="175">
        <f>VLOOKUP($D48,'2024Data to Complete Appendix C'!$C$8:$Q$313,4,FALSE)</f>
        <v>0</v>
      </c>
      <c r="I48" s="175">
        <f>VLOOKUP($D48,'2024Data to Complete Appendix C'!$C$8:$Q$313,5,FALSE)</f>
        <v>462</v>
      </c>
      <c r="J48" s="176">
        <f>VLOOKUP($D48,'2024Data to Complete Appendix C'!$C$8:$Q$313,6,FALSE)</f>
        <v>2.0416699999999999</v>
      </c>
      <c r="K48" s="176">
        <f>VLOOKUP($D48,'2024Data to Complete Appendix C'!$C$8:$Q$313,7,FALSE)</f>
        <v>1.95</v>
      </c>
      <c r="L48" s="176">
        <f>VLOOKUP($D48,'2024Data to Complete Appendix C'!$C$8:$Q$313,8,FALSE)</f>
        <v>1.11659</v>
      </c>
      <c r="M48" s="175">
        <f>VLOOKUP($D48,'2024Data to Complete Appendix C'!$C$8:$Q$313,9,FALSE)</f>
        <v>43.946899999999999</v>
      </c>
      <c r="N48" s="176">
        <f>VLOOKUP($D48,'2024Data to Complete Appendix C'!$C$8:$Q$313,10,FALSE)</f>
        <v>0.108794</v>
      </c>
      <c r="O48" s="177">
        <f>VLOOKUP($D48,'2024Data to Complete Appendix C'!$C$8:$Q$313,11,FALSE)</f>
        <v>0.56699999999999995</v>
      </c>
      <c r="P48" s="177">
        <f>VLOOKUP($D48,'2024Data to Complete Appendix C'!$C$8:$Q$313,12,FALSE)</f>
        <v>0.77268000000000003</v>
      </c>
      <c r="Q48" s="177">
        <f>VLOOKUP($D48,'2024Data to Complete Appendix C'!$C$8:$Q$313,13,FALSE)</f>
        <v>0.55268598700000005</v>
      </c>
      <c r="R48" s="176">
        <f>VLOOKUP($D48,'2024Data to Complete Appendix C'!$C$8:$Q$313,14,FALSE)</f>
        <v>2.2999999999999998</v>
      </c>
      <c r="S48" s="177">
        <f>VLOOKUP($D48,'2024Data to Complete Appendix C'!$C$8:$Q$313,15,FALSE)</f>
        <v>-0.65234099999999995</v>
      </c>
      <c r="T48" s="175">
        <f>IFERROR(VLOOKUP($D48,'2024_Lodging_by_WUP'!$A:$D,4,FALSE),0)</f>
        <v>0</v>
      </c>
      <c r="U48" s="175">
        <f t="shared" si="0"/>
        <v>0</v>
      </c>
      <c r="V48" s="178">
        <f>IFERROR(VLOOKUP($D48,Total_DU!$B$5:$AB$171,24,0),0)</f>
        <v>0</v>
      </c>
      <c r="W48" s="178">
        <f>IFERROR(VLOOKUP($D48,Total_DU!$B$5:$AB$174,25,0),0)</f>
        <v>0</v>
      </c>
      <c r="X48" s="178">
        <f>IFERROR(VLOOKUP($D48,Total_DU!$B$5:$AB$174,26,0),0)</f>
        <v>0</v>
      </c>
      <c r="Y48" s="178">
        <f>IFERROR(VLOOKUP($D48,Total_DU!$B$5:$AB$174,27,0),0)</f>
        <v>0</v>
      </c>
      <c r="Z48" s="178">
        <f>IFERROR(VLOOKUP($D48,Population!$B$5:$AA$175,23,FALSE),0)</f>
        <v>0</v>
      </c>
      <c r="AA48" s="178">
        <f>IFERROR(VLOOKUP($D48,Population!$B$5:$AA$175,24,FALSE),0)</f>
        <v>0</v>
      </c>
      <c r="AB48" s="178">
        <f>IFERROR(VLOOKUP($D48,Population!$B$5:$AA$175,25,FALSE),0)</f>
        <v>0</v>
      </c>
      <c r="AC48" s="178">
        <f>IFERROR(VLOOKUP($D48,Population!$B$5:$AA$175,26,FALSE),0)</f>
        <v>0</v>
      </c>
    </row>
    <row r="49" spans="1:29" x14ac:dyDescent="0.2">
      <c r="A49" s="1" t="s">
        <v>414</v>
      </c>
      <c r="B49" s="1" t="s">
        <v>421</v>
      </c>
      <c r="C49" s="1" t="s">
        <v>422</v>
      </c>
      <c r="D49" s="1">
        <v>4980</v>
      </c>
      <c r="E49" s="1">
        <v>2024</v>
      </c>
      <c r="F49" s="175">
        <f>VLOOKUP($D49,'2024Data to Complete Appendix C'!$C$8:$Q$313,2,FALSE)</f>
        <v>4598</v>
      </c>
      <c r="G49" s="175">
        <f>VLOOKUP($D49,'2024Data to Complete Appendix C'!$C$8:$Q$313,3,FALSE)</f>
        <v>1984</v>
      </c>
      <c r="H49" s="175">
        <f>VLOOKUP($D49,'2024Data to Complete Appendix C'!$C$8:$Q$313,4,FALSE)</f>
        <v>17</v>
      </c>
      <c r="I49" s="175">
        <f>VLOOKUP($D49,'2024Data to Complete Appendix C'!$C$8:$Q$313,5,FALSE)</f>
        <v>2453</v>
      </c>
      <c r="J49" s="176">
        <f>VLOOKUP($D49,'2024Data to Complete Appendix C'!$C$8:$Q$313,6,FALSE)</f>
        <v>2.3175400000000002</v>
      </c>
      <c r="K49" s="176">
        <f>VLOOKUP($D49,'2024Data to Complete Appendix C'!$C$8:$Q$313,7,FALSE)</f>
        <v>1.95</v>
      </c>
      <c r="L49" s="176">
        <f>VLOOKUP($D49,'2024Data to Complete Appendix C'!$C$8:$Q$313,8,FALSE)</f>
        <v>1.15205</v>
      </c>
      <c r="M49" s="175">
        <f>VLOOKUP($D49,'2024Data to Complete Appendix C'!$C$8:$Q$313,9,FALSE)</f>
        <v>358.517</v>
      </c>
      <c r="N49" s="176">
        <f>VLOOKUP($D49,'2024Data to Complete Appendix C'!$C$8:$Q$313,10,FALSE)</f>
        <v>0.15304799999999999</v>
      </c>
      <c r="O49" s="177">
        <f>VLOOKUP($D49,'2024Data to Complete Appendix C'!$C$8:$Q$313,11,FALSE)</f>
        <v>0.56699999999999995</v>
      </c>
      <c r="P49" s="177">
        <f>VLOOKUP($D49,'2024Data to Complete Appendix C'!$C$8:$Q$313,12,FALSE)</f>
        <v>0.77268000000000003</v>
      </c>
      <c r="Q49" s="177">
        <f>VLOOKUP($D49,'2024Data to Complete Appendix C'!$C$8:$Q$313,13,FALSE)</f>
        <v>0.55268598700000005</v>
      </c>
      <c r="R49" s="176">
        <f>VLOOKUP($D49,'2024Data to Complete Appendix C'!$C$8:$Q$313,14,FALSE)</f>
        <v>2.2999999999999998</v>
      </c>
      <c r="S49" s="177">
        <f>VLOOKUP($D49,'2024Data to Complete Appendix C'!$C$8:$Q$313,15,FALSE)</f>
        <v>-0.404308</v>
      </c>
      <c r="T49" s="175">
        <f>IFERROR(VLOOKUP($D49,'2024_Lodging_by_WUP'!$A:$D,4,FALSE),0)</f>
        <v>4</v>
      </c>
      <c r="U49" s="175">
        <f t="shared" si="0"/>
        <v>5.0847110804</v>
      </c>
      <c r="V49" s="178">
        <f>IFERROR(VLOOKUP($D49,Total_DU!$B$5:$AB$171,24,0),0)</f>
        <v>2047</v>
      </c>
      <c r="W49" s="178">
        <f>IFERROR(VLOOKUP($D49,Total_DU!$B$5:$AB$174,25,0),0)</f>
        <v>2107</v>
      </c>
      <c r="X49" s="178">
        <f>IFERROR(VLOOKUP($D49,Total_DU!$B$5:$AB$174,26,0),0)</f>
        <v>2173</v>
      </c>
      <c r="Y49" s="178">
        <f>IFERROR(VLOOKUP($D49,Total_DU!$B$5:$AB$174,27,0),0)</f>
        <v>2205</v>
      </c>
      <c r="Z49" s="178">
        <f>IFERROR(VLOOKUP($D49,Population!$B$5:$AA$175,23,FALSE),0)</f>
        <v>4537.2015972012023</v>
      </c>
      <c r="AA49" s="178">
        <f>IFERROR(VLOOKUP($D49,Population!$B$5:$AA$175,24,FALSE),0)</f>
        <v>4670</v>
      </c>
      <c r="AB49" s="178">
        <f>IFERROR(VLOOKUP($D49,Population!$B$5:$AA$175,25,FALSE),0)</f>
        <v>4820</v>
      </c>
      <c r="AC49" s="178">
        <f>IFERROR(VLOOKUP($D49,Population!$B$5:$AA$175,26,FALSE),0)</f>
        <v>4860</v>
      </c>
    </row>
    <row r="50" spans="1:29" x14ac:dyDescent="0.2">
      <c r="A50" s="1" t="s">
        <v>414</v>
      </c>
      <c r="B50" s="1" t="s">
        <v>423</v>
      </c>
      <c r="C50" s="1" t="s">
        <v>424</v>
      </c>
      <c r="D50" s="1">
        <v>5270</v>
      </c>
      <c r="E50" s="1">
        <v>2024</v>
      </c>
      <c r="F50" s="175">
        <f>VLOOKUP($D50,'2024Data to Complete Appendix C'!$C$8:$Q$313,2,FALSE)</f>
        <v>12727</v>
      </c>
      <c r="G50" s="175">
        <f>VLOOKUP($D50,'2024Data to Complete Appendix C'!$C$8:$Q$313,3,FALSE)</f>
        <v>5952</v>
      </c>
      <c r="H50" s="175">
        <f>VLOOKUP($D50,'2024Data to Complete Appendix C'!$C$8:$Q$313,4,FALSE)</f>
        <v>185</v>
      </c>
      <c r="I50" s="175">
        <f>VLOOKUP($D50,'2024Data to Complete Appendix C'!$C$8:$Q$313,5,FALSE)</f>
        <v>8447</v>
      </c>
      <c r="J50" s="176">
        <f>VLOOKUP($D50,'2024Data to Complete Appendix C'!$C$8:$Q$313,6,FALSE)</f>
        <v>2.1382699999999999</v>
      </c>
      <c r="K50" s="176">
        <f>VLOOKUP($D50,'2024Data to Complete Appendix C'!$C$8:$Q$313,7,FALSE)</f>
        <v>1.95</v>
      </c>
      <c r="L50" s="176">
        <f>VLOOKUP($D50,'2024Data to Complete Appendix C'!$C$8:$Q$313,8,FALSE)</f>
        <v>1.15205</v>
      </c>
      <c r="M50" s="175">
        <f>VLOOKUP($D50,'2024Data to Complete Appendix C'!$C$8:$Q$313,9,FALSE)</f>
        <v>992.35599999999999</v>
      </c>
      <c r="N50" s="176">
        <f>VLOOKUP($D50,'2024Data to Complete Appendix C'!$C$8:$Q$313,10,FALSE)</f>
        <v>0.142901</v>
      </c>
      <c r="O50" s="177">
        <f>VLOOKUP($D50,'2024Data to Complete Appendix C'!$C$8:$Q$313,11,FALSE)</f>
        <v>0.56699999999999995</v>
      </c>
      <c r="P50" s="177">
        <f>VLOOKUP($D50,'2024Data to Complete Appendix C'!$C$8:$Q$313,12,FALSE)</f>
        <v>0.77268000000000003</v>
      </c>
      <c r="Q50" s="177">
        <f>VLOOKUP($D50,'2024Data to Complete Appendix C'!$C$8:$Q$313,13,FALSE)</f>
        <v>0.55268598700000005</v>
      </c>
      <c r="R50" s="176">
        <f>VLOOKUP($D50,'2024Data to Complete Appendix C'!$C$8:$Q$313,14,FALSE)</f>
        <v>2.2999999999999998</v>
      </c>
      <c r="S50" s="177">
        <f>VLOOKUP($D50,'2024Data to Complete Appendix C'!$C$8:$Q$313,15,FALSE)</f>
        <v>-0.40038299999999999</v>
      </c>
      <c r="T50" s="175">
        <f>IFERROR(VLOOKUP($D50,'2024_Lodging_by_WUP'!$A:$D,4,FALSE),0)</f>
        <v>274</v>
      </c>
      <c r="U50" s="175">
        <f t="shared" si="0"/>
        <v>348.30270900740004</v>
      </c>
      <c r="V50" s="178">
        <f>IFERROR(VLOOKUP($D50,Total_DU!$B$5:$AB$171,24,0),0)</f>
        <v>3203</v>
      </c>
      <c r="W50" s="178">
        <f>IFERROR(VLOOKUP($D50,Total_DU!$B$5:$AB$174,25,0),0)</f>
        <v>3116</v>
      </c>
      <c r="X50" s="178">
        <f>IFERROR(VLOOKUP($D50,Total_DU!$B$5:$AB$174,26,0),0)</f>
        <v>3190</v>
      </c>
      <c r="Y50" s="178">
        <f>IFERROR(VLOOKUP($D50,Total_DU!$B$5:$AB$174,27,0),0)</f>
        <v>3169</v>
      </c>
      <c r="Z50" s="178">
        <f>IFERROR(VLOOKUP($D50,Population!$B$5:$AA$175,23,FALSE),0)</f>
        <v>7395.0696288295812</v>
      </c>
      <c r="AA50" s="178">
        <f>IFERROR(VLOOKUP($D50,Population!$B$5:$AA$175,24,FALSE),0)</f>
        <v>7170</v>
      </c>
      <c r="AB50" s="178">
        <f>IFERROR(VLOOKUP($D50,Population!$B$5:$AA$175,25,FALSE),0)</f>
        <v>7414</v>
      </c>
      <c r="AC50" s="178">
        <f>IFERROR(VLOOKUP($D50,Population!$B$5:$AA$175,26,FALSE),0)</f>
        <v>6905.5691035629243</v>
      </c>
    </row>
    <row r="51" spans="1:29" x14ac:dyDescent="0.2">
      <c r="A51" s="1" t="s">
        <v>414</v>
      </c>
      <c r="B51" s="1" t="s">
        <v>425</v>
      </c>
      <c r="C51" s="1" t="s">
        <v>426</v>
      </c>
      <c r="D51" s="1">
        <v>6029</v>
      </c>
      <c r="E51" s="1">
        <v>2024</v>
      </c>
      <c r="F51" s="175">
        <f>VLOOKUP($D51,'2024Data to Complete Appendix C'!$C$8:$Q$313,2,FALSE)</f>
        <v>17535</v>
      </c>
      <c r="G51" s="175">
        <f>VLOOKUP($D51,'2024Data to Complete Appendix C'!$C$8:$Q$313,3,FALSE)</f>
        <v>7445</v>
      </c>
      <c r="H51" s="175">
        <f>VLOOKUP($D51,'2024Data to Complete Appendix C'!$C$8:$Q$313,4,FALSE)</f>
        <v>221</v>
      </c>
      <c r="I51" s="175">
        <f>VLOOKUP($D51,'2024Data to Complete Appendix C'!$C$8:$Q$313,5,FALSE)</f>
        <v>9305</v>
      </c>
      <c r="J51" s="176">
        <f>VLOOKUP($D51,'2024Data to Complete Appendix C'!$C$8:$Q$313,6,FALSE)</f>
        <v>2.35527</v>
      </c>
      <c r="K51" s="176">
        <f>VLOOKUP($D51,'2024Data to Complete Appendix C'!$C$8:$Q$313,7,FALSE)</f>
        <v>1.95</v>
      </c>
      <c r="L51" s="176">
        <f>VLOOKUP($D51,'2024Data to Complete Appendix C'!$C$8:$Q$313,8,FALSE)</f>
        <v>1.08213</v>
      </c>
      <c r="M51" s="175">
        <f>VLOOKUP($D51,'2024Data to Complete Appendix C'!$C$8:$Q$313,9,FALSE)</f>
        <v>738.505</v>
      </c>
      <c r="N51" s="176">
        <f>VLOOKUP($D51,'2024Data to Complete Appendix C'!$C$8:$Q$313,10,FALSE)</f>
        <v>9.0243100000000007E-2</v>
      </c>
      <c r="O51" s="177">
        <f>VLOOKUP($D51,'2024Data to Complete Appendix C'!$C$8:$Q$313,11,FALSE)</f>
        <v>0.56699999999999995</v>
      </c>
      <c r="P51" s="177">
        <f>VLOOKUP($D51,'2024Data to Complete Appendix C'!$C$8:$Q$313,12,FALSE)</f>
        <v>0.77268000000000003</v>
      </c>
      <c r="Q51" s="177">
        <f>VLOOKUP($D51,'2024Data to Complete Appendix C'!$C$8:$Q$313,13,FALSE)</f>
        <v>0.55268598700000005</v>
      </c>
      <c r="R51" s="176">
        <f>VLOOKUP($D51,'2024Data to Complete Appendix C'!$C$8:$Q$313,14,FALSE)</f>
        <v>2.2999999999999998</v>
      </c>
      <c r="S51" s="177">
        <f>VLOOKUP($D51,'2024Data to Complete Appendix C'!$C$8:$Q$313,15,FALSE)</f>
        <v>-0.35646899999999998</v>
      </c>
      <c r="T51" s="175">
        <f>IFERROR(VLOOKUP($D51,'2024_Lodging_by_WUP'!$A:$D,4,FALSE),0)</f>
        <v>181</v>
      </c>
      <c r="U51" s="175">
        <f t="shared" si="0"/>
        <v>230.08317638810001</v>
      </c>
      <c r="V51" s="178">
        <f>IFERROR(VLOOKUP($D51,Total_DU!$B$5:$AB$171,24,0),0)</f>
        <v>9152</v>
      </c>
      <c r="W51" s="178">
        <f>IFERROR(VLOOKUP($D51,Total_DU!$B$5:$AB$174,25,0),0)</f>
        <v>9222</v>
      </c>
      <c r="X51" s="178">
        <f>IFERROR(VLOOKUP($D51,Total_DU!$B$5:$AB$174,26,0),0)</f>
        <v>9297</v>
      </c>
      <c r="Y51" s="178">
        <f>IFERROR(VLOOKUP($D51,Total_DU!$B$5:$AB$174,27,0),0)</f>
        <v>9351</v>
      </c>
      <c r="Z51" s="178">
        <f>IFERROR(VLOOKUP($D51,Population!$B$5:$AA$175,23,FALSE),0)</f>
        <v>22645.061707407211</v>
      </c>
      <c r="AA51" s="178">
        <f>IFERROR(VLOOKUP($D51,Population!$B$5:$AA$175,24,FALSE),0)</f>
        <v>22789</v>
      </c>
      <c r="AB51" s="178">
        <f>IFERROR(VLOOKUP($D51,Population!$B$5:$AA$175,25,FALSE),0)</f>
        <v>23026</v>
      </c>
      <c r="AC51" s="178">
        <f>IFERROR(VLOOKUP($D51,Population!$B$5:$AA$175,26,FALSE),0)</f>
        <v>21758.724662772969</v>
      </c>
    </row>
    <row r="52" spans="1:29" x14ac:dyDescent="0.2">
      <c r="A52" s="1" t="s">
        <v>414</v>
      </c>
      <c r="B52" s="1" t="s">
        <v>427</v>
      </c>
      <c r="C52" s="1" t="s">
        <v>416</v>
      </c>
      <c r="D52" s="1">
        <v>6456</v>
      </c>
      <c r="E52" s="1">
        <v>2024</v>
      </c>
      <c r="F52" s="175">
        <f>VLOOKUP($D52,'2024Data to Complete Appendix C'!$C$8:$Q$313,2,FALSE)</f>
        <v>530</v>
      </c>
      <c r="G52" s="175">
        <f>VLOOKUP($D52,'2024Data to Complete Appendix C'!$C$8:$Q$313,3,FALSE)</f>
        <v>298</v>
      </c>
      <c r="H52" s="175">
        <f>VLOOKUP($D52,'2024Data to Complete Appendix C'!$C$8:$Q$313,4,FALSE)</f>
        <v>0</v>
      </c>
      <c r="I52" s="175">
        <f>VLOOKUP($D52,'2024Data to Complete Appendix C'!$C$8:$Q$313,5,FALSE)</f>
        <v>395</v>
      </c>
      <c r="J52" s="176">
        <f>VLOOKUP($D52,'2024Data to Complete Appendix C'!$C$8:$Q$313,6,FALSE)</f>
        <v>1.7785200000000001</v>
      </c>
      <c r="K52" s="176">
        <f>VLOOKUP($D52,'2024Data to Complete Appendix C'!$C$8:$Q$313,7,FALSE)</f>
        <v>1.95</v>
      </c>
      <c r="L52" s="176">
        <f>VLOOKUP($D52,'2024Data to Complete Appendix C'!$C$8:$Q$313,8,FALSE)</f>
        <v>1.15205</v>
      </c>
      <c r="M52" s="175">
        <f>VLOOKUP($D52,'2024Data to Complete Appendix C'!$C$8:$Q$313,9,FALSE)</f>
        <v>41.325400000000002</v>
      </c>
      <c r="N52" s="176">
        <f>VLOOKUP($D52,'2024Data to Complete Appendix C'!$C$8:$Q$313,10,FALSE)</f>
        <v>0.12178700000000001</v>
      </c>
      <c r="O52" s="177">
        <f>VLOOKUP($D52,'2024Data to Complete Appendix C'!$C$8:$Q$313,11,FALSE)</f>
        <v>0.56699999999999995</v>
      </c>
      <c r="P52" s="177">
        <f>VLOOKUP($D52,'2024Data to Complete Appendix C'!$C$8:$Q$313,12,FALSE)</f>
        <v>0.77268000000000003</v>
      </c>
      <c r="Q52" s="177">
        <f>VLOOKUP($D52,'2024Data to Complete Appendix C'!$C$8:$Q$313,13,FALSE)</f>
        <v>0.55268598700000005</v>
      </c>
      <c r="R52" s="176">
        <f>VLOOKUP($D52,'2024Data to Complete Appendix C'!$C$8:$Q$313,14,FALSE)</f>
        <v>2.2999999999999998</v>
      </c>
      <c r="S52" s="177">
        <f>VLOOKUP($D52,'2024Data to Complete Appendix C'!$C$8:$Q$313,15,FALSE)</f>
        <v>-0.369537</v>
      </c>
      <c r="T52" s="175">
        <f>IFERROR(VLOOKUP($D52,'2024_Lodging_by_WUP'!$A:$D,4,FALSE),0)</f>
        <v>0</v>
      </c>
      <c r="U52" s="175">
        <f t="shared" si="0"/>
        <v>0</v>
      </c>
      <c r="V52" s="178">
        <f>IFERROR(VLOOKUP($D52,Total_DU!$B$5:$AB$171,24,0),0)</f>
        <v>0</v>
      </c>
      <c r="W52" s="178">
        <f>IFERROR(VLOOKUP($D52,Total_DU!$B$5:$AB$174,25,0),0)</f>
        <v>0</v>
      </c>
      <c r="X52" s="178">
        <f>IFERROR(VLOOKUP($D52,Total_DU!$B$5:$AB$174,26,0),0)</f>
        <v>0</v>
      </c>
      <c r="Y52" s="178">
        <f>IFERROR(VLOOKUP($D52,Total_DU!$B$5:$AB$174,27,0),0)</f>
        <v>0</v>
      </c>
      <c r="Z52" s="178">
        <f>IFERROR(VLOOKUP($D52,Population!$B$5:$AA$175,23,FALSE),0)</f>
        <v>0</v>
      </c>
      <c r="AA52" s="178">
        <f>IFERROR(VLOOKUP($D52,Population!$B$5:$AA$175,24,FALSE),0)</f>
        <v>0</v>
      </c>
      <c r="AB52" s="178">
        <f>IFERROR(VLOOKUP($D52,Population!$B$5:$AA$175,25,FALSE),0)</f>
        <v>0</v>
      </c>
      <c r="AC52" s="178">
        <f>IFERROR(VLOOKUP($D52,Population!$B$5:$AA$175,26,FALSE),0)</f>
        <v>0</v>
      </c>
    </row>
    <row r="53" spans="1:29" x14ac:dyDescent="0.2">
      <c r="A53" s="1" t="s">
        <v>414</v>
      </c>
      <c r="B53" s="1" t="s">
        <v>428</v>
      </c>
      <c r="C53" s="1" t="s">
        <v>429</v>
      </c>
      <c r="D53" s="1">
        <v>7139</v>
      </c>
      <c r="E53" s="1">
        <v>2024</v>
      </c>
      <c r="F53" s="175">
        <f>VLOOKUP($D53,'2024Data to Complete Appendix C'!$C$8:$Q$313,2,FALSE)</f>
        <v>751</v>
      </c>
      <c r="G53" s="175">
        <f>VLOOKUP($D53,'2024Data to Complete Appendix C'!$C$8:$Q$313,3,FALSE)</f>
        <v>434</v>
      </c>
      <c r="H53" s="175">
        <f>VLOOKUP($D53,'2024Data to Complete Appendix C'!$C$8:$Q$313,4,FALSE)</f>
        <v>0</v>
      </c>
      <c r="I53" s="175">
        <f>VLOOKUP($D53,'2024Data to Complete Appendix C'!$C$8:$Q$313,5,FALSE)</f>
        <v>868</v>
      </c>
      <c r="J53" s="176">
        <f>VLOOKUP($D53,'2024Data to Complete Appendix C'!$C$8:$Q$313,6,FALSE)</f>
        <v>1.73041</v>
      </c>
      <c r="K53" s="176">
        <f>VLOOKUP($D53,'2024Data to Complete Appendix C'!$C$8:$Q$313,7,FALSE)</f>
        <v>1.95</v>
      </c>
      <c r="L53" s="176">
        <f>VLOOKUP($D53,'2024Data to Complete Appendix C'!$C$8:$Q$313,8,FALSE)</f>
        <v>1.1290899999999999</v>
      </c>
      <c r="M53" s="175">
        <f>VLOOKUP($D53,'2024Data to Complete Appendix C'!$C$8:$Q$313,9,FALSE)</f>
        <v>49.7151</v>
      </c>
      <c r="N53" s="176">
        <f>VLOOKUP($D53,'2024Data to Complete Appendix C'!$C$8:$Q$313,10,FALSE)</f>
        <v>0.10277799999999999</v>
      </c>
      <c r="O53" s="177">
        <f>VLOOKUP($D53,'2024Data to Complete Appendix C'!$C$8:$Q$313,11,FALSE)</f>
        <v>0.56699999999999995</v>
      </c>
      <c r="P53" s="177">
        <f>VLOOKUP($D53,'2024Data to Complete Appendix C'!$C$8:$Q$313,12,FALSE)</f>
        <v>0.77268000000000003</v>
      </c>
      <c r="Q53" s="177">
        <f>VLOOKUP($D53,'2024Data to Complete Appendix C'!$C$8:$Q$313,13,FALSE)</f>
        <v>0.55268598700000005</v>
      </c>
      <c r="R53" s="176">
        <f>VLOOKUP($D53,'2024Data to Complete Appendix C'!$C$8:$Q$313,14,FALSE)</f>
        <v>2.2999999999999998</v>
      </c>
      <c r="S53" s="177">
        <f>VLOOKUP($D53,'2024Data to Complete Appendix C'!$C$8:$Q$313,15,FALSE)</f>
        <v>9.0639399999999995E-2</v>
      </c>
      <c r="T53" s="175">
        <f>IFERROR(VLOOKUP($D53,'2024_Lodging_by_WUP'!$A:$D,4,FALSE),0)</f>
        <v>0</v>
      </c>
      <c r="U53" s="175">
        <f t="shared" si="0"/>
        <v>0</v>
      </c>
      <c r="V53" s="178">
        <f>IFERROR(VLOOKUP($D53,Total_DU!$B$5:$AB$171,24,0),0)</f>
        <v>940</v>
      </c>
      <c r="W53" s="178">
        <f>IFERROR(VLOOKUP($D53,Total_DU!$B$5:$AB$174,25,0),0)</f>
        <v>940</v>
      </c>
      <c r="X53" s="178">
        <f>IFERROR(VLOOKUP($D53,Total_DU!$B$5:$AB$174,26,0),0)</f>
        <v>940</v>
      </c>
      <c r="Y53" s="178">
        <f>IFERROR(VLOOKUP($D53,Total_DU!$B$5:$AB$174,27,0),0)</f>
        <v>940</v>
      </c>
      <c r="Z53" s="178">
        <f>IFERROR(VLOOKUP($D53,Population!$B$5:$AA$175,23,FALSE),0)</f>
        <v>1630.7276671415866</v>
      </c>
      <c r="AA53" s="178">
        <f>IFERROR(VLOOKUP($D53,Population!$B$5:$AA$175,24,FALSE),0)</f>
        <v>1631</v>
      </c>
      <c r="AB53" s="178">
        <f>IFERROR(VLOOKUP($D53,Population!$B$5:$AA$175,25,FALSE),0)</f>
        <v>1631</v>
      </c>
      <c r="AC53" s="178">
        <f>IFERROR(VLOOKUP($D53,Population!$B$5:$AA$175,26,FALSE),0)</f>
        <v>1631</v>
      </c>
    </row>
    <row r="54" spans="1:29" x14ac:dyDescent="0.2">
      <c r="A54" s="1" t="s">
        <v>414</v>
      </c>
      <c r="B54" s="1" t="s">
        <v>430</v>
      </c>
      <c r="C54" s="1" t="s">
        <v>431</v>
      </c>
      <c r="D54" s="1">
        <v>7704</v>
      </c>
      <c r="E54" s="1">
        <v>2024</v>
      </c>
      <c r="F54" s="175">
        <f>VLOOKUP($D54,'2024Data to Complete Appendix C'!$C$8:$Q$313,2,FALSE)</f>
        <v>791</v>
      </c>
      <c r="G54" s="175">
        <f>VLOOKUP($D54,'2024Data to Complete Appendix C'!$C$8:$Q$313,3,FALSE)</f>
        <v>363</v>
      </c>
      <c r="H54" s="175">
        <f>VLOOKUP($D54,'2024Data to Complete Appendix C'!$C$8:$Q$313,4,FALSE)</f>
        <v>0</v>
      </c>
      <c r="I54" s="175">
        <f>VLOOKUP($D54,'2024Data to Complete Appendix C'!$C$8:$Q$313,5,FALSE)</f>
        <v>421</v>
      </c>
      <c r="J54" s="176">
        <f>VLOOKUP($D54,'2024Data to Complete Appendix C'!$C$8:$Q$313,6,FALSE)</f>
        <v>2.1790600000000002</v>
      </c>
      <c r="K54" s="176">
        <f>VLOOKUP($D54,'2024Data to Complete Appendix C'!$C$8:$Q$313,7,FALSE)</f>
        <v>1.95</v>
      </c>
      <c r="L54" s="176">
        <f>VLOOKUP($D54,'2024Data to Complete Appendix C'!$C$8:$Q$313,8,FALSE)</f>
        <v>1.1290899999999999</v>
      </c>
      <c r="M54" s="175">
        <f>VLOOKUP($D54,'2024Data to Complete Appendix C'!$C$8:$Q$313,9,FALSE)</f>
        <v>52.363100000000003</v>
      </c>
      <c r="N54" s="176">
        <f>VLOOKUP($D54,'2024Data to Complete Appendix C'!$C$8:$Q$313,10,FALSE)</f>
        <v>0.12606600000000001</v>
      </c>
      <c r="O54" s="177">
        <f>VLOOKUP($D54,'2024Data to Complete Appendix C'!$C$8:$Q$313,11,FALSE)</f>
        <v>0.56699999999999995</v>
      </c>
      <c r="P54" s="177">
        <f>VLOOKUP($D54,'2024Data to Complete Appendix C'!$C$8:$Q$313,12,FALSE)</f>
        <v>0.77268000000000003</v>
      </c>
      <c r="Q54" s="177">
        <f>VLOOKUP($D54,'2024Data to Complete Appendix C'!$C$8:$Q$313,13,FALSE)</f>
        <v>0.55268598700000005</v>
      </c>
      <c r="R54" s="176">
        <f>VLOOKUP($D54,'2024Data to Complete Appendix C'!$C$8:$Q$313,14,FALSE)</f>
        <v>2.2999999999999998</v>
      </c>
      <c r="S54" s="177">
        <f>VLOOKUP($D54,'2024Data to Complete Appendix C'!$C$8:$Q$313,15,FALSE)</f>
        <v>-0.67469000000000001</v>
      </c>
      <c r="T54" s="175">
        <f>IFERROR(VLOOKUP($D54,'2024_Lodging_by_WUP'!$A:$D,4,FALSE),0)</f>
        <v>0</v>
      </c>
      <c r="U54" s="175">
        <f t="shared" si="0"/>
        <v>0</v>
      </c>
      <c r="V54" s="178" t="str">
        <f>IFERROR(VLOOKUP($D54,Total_DU!$B$5:$AB$171,24,0),0)</f>
        <v>NA</v>
      </c>
      <c r="W54" s="178" t="str">
        <f>IFERROR(VLOOKUP($D54,Total_DU!$B$5:$AB$174,25,0),0)</f>
        <v>NA</v>
      </c>
      <c r="X54" s="178" t="str">
        <f>IFERROR(VLOOKUP($D54,Total_DU!$B$5:$AB$174,26,0),0)</f>
        <v>NA</v>
      </c>
      <c r="Y54" s="178" t="str">
        <f>IFERROR(VLOOKUP($D54,Total_DU!$B$5:$AB$174,27,0),0)</f>
        <v>NA</v>
      </c>
      <c r="Z54" s="178" t="str">
        <f>IFERROR(VLOOKUP($D54,Population!$B$5:$AA$175,23,FALSE),0)</f>
        <v>NA</v>
      </c>
      <c r="AA54" s="178" t="str">
        <f>IFERROR(VLOOKUP($D54,Population!$B$5:$AA$175,24,FALSE),0)</f>
        <v>NA</v>
      </c>
      <c r="AB54" s="178" t="str">
        <f>IFERROR(VLOOKUP($D54,Population!$B$5:$AA$175,25,FALSE),0)</f>
        <v>NA</v>
      </c>
      <c r="AC54" s="178" t="str">
        <f>IFERROR(VLOOKUP($D54,Population!$B$5:$AA$175,26,FALSE),0)</f>
        <v>NA</v>
      </c>
    </row>
    <row r="55" spans="1:29" x14ac:dyDescent="0.2">
      <c r="A55" s="1" t="s">
        <v>414</v>
      </c>
      <c r="B55" s="1" t="s">
        <v>432</v>
      </c>
      <c r="C55" s="1" t="s">
        <v>433</v>
      </c>
      <c r="D55" s="1">
        <v>9140</v>
      </c>
      <c r="E55" s="1">
        <v>2024</v>
      </c>
      <c r="F55" s="175">
        <f>VLOOKUP($D55,'2024Data to Complete Appendix C'!$C$8:$Q$313,2,FALSE)</f>
        <v>21</v>
      </c>
      <c r="G55" s="175">
        <f>VLOOKUP($D55,'2024Data to Complete Appendix C'!$C$8:$Q$313,3,FALSE)</f>
        <v>5</v>
      </c>
      <c r="H55" s="175">
        <f>VLOOKUP($D55,'2024Data to Complete Appendix C'!$C$8:$Q$313,4,FALSE)</f>
        <v>0</v>
      </c>
      <c r="I55" s="175">
        <f>VLOOKUP($D55,'2024Data to Complete Appendix C'!$C$8:$Q$313,5,FALSE)</f>
        <v>6</v>
      </c>
      <c r="J55" s="176">
        <f>VLOOKUP($D55,'2024Data to Complete Appendix C'!$C$8:$Q$313,6,FALSE)</f>
        <v>4.2</v>
      </c>
      <c r="K55" s="176">
        <f>VLOOKUP($D55,'2024Data to Complete Appendix C'!$C$8:$Q$313,7,FALSE)</f>
        <v>1.95</v>
      </c>
      <c r="L55" s="176">
        <f>VLOOKUP($D55,'2024Data to Complete Appendix C'!$C$8:$Q$313,8,FALSE)</f>
        <v>1.1290899999999999</v>
      </c>
      <c r="M55" s="175">
        <f>VLOOKUP($D55,'2024Data to Complete Appendix C'!$C$8:$Q$313,9,FALSE)</f>
        <v>1.3901699999999999</v>
      </c>
      <c r="N55" s="176">
        <f>VLOOKUP($D55,'2024Data to Complete Appendix C'!$C$8:$Q$313,10,FALSE)</f>
        <v>0.21754799999999999</v>
      </c>
      <c r="O55" s="177">
        <f>VLOOKUP($D55,'2024Data to Complete Appendix C'!$C$8:$Q$313,11,FALSE)</f>
        <v>0.56699999999999995</v>
      </c>
      <c r="P55" s="177">
        <f>VLOOKUP($D55,'2024Data to Complete Appendix C'!$C$8:$Q$313,12,FALSE)</f>
        <v>0.77268000000000003</v>
      </c>
      <c r="Q55" s="177">
        <f>VLOOKUP($D55,'2024Data to Complete Appendix C'!$C$8:$Q$313,13,FALSE)</f>
        <v>0.55268598700000005</v>
      </c>
      <c r="R55" s="176">
        <f>VLOOKUP($D55,'2024Data to Complete Appendix C'!$C$8:$Q$313,14,FALSE)</f>
        <v>2.2999999999999998</v>
      </c>
      <c r="S55" s="177">
        <f>VLOOKUP($D55,'2024Data to Complete Appendix C'!$C$8:$Q$313,15,FALSE)</f>
        <v>9.0639399999999995E-2</v>
      </c>
      <c r="T55" s="175">
        <f>IFERROR(VLOOKUP($D55,'2024_Lodging_by_WUP'!$A:$D,4,FALSE),0)</f>
        <v>0</v>
      </c>
      <c r="U55" s="175">
        <f t="shared" si="0"/>
        <v>0</v>
      </c>
      <c r="V55" s="178" t="str">
        <f>IFERROR(VLOOKUP($D55,Total_DU!$B$5:$AB$171,24,0),0)</f>
        <v>NA</v>
      </c>
      <c r="W55" s="178" t="str">
        <f>IFERROR(VLOOKUP($D55,Total_DU!$B$5:$AB$174,25,0),0)</f>
        <v>NA</v>
      </c>
      <c r="X55" s="178" t="str">
        <f>IFERROR(VLOOKUP($D55,Total_DU!$B$5:$AB$174,26,0),0)</f>
        <v>NA</v>
      </c>
      <c r="Y55" s="178" t="str">
        <f>IFERROR(VLOOKUP($D55,Total_DU!$B$5:$AB$174,27,0),0)</f>
        <v>NA</v>
      </c>
      <c r="Z55" s="178" t="str">
        <f>IFERROR(VLOOKUP($D55,Population!$B$5:$AA$175,23,FALSE),0)</f>
        <v>NA</v>
      </c>
      <c r="AA55" s="178" t="str">
        <f>IFERROR(VLOOKUP($D55,Population!$B$5:$AA$175,24,FALSE),0)</f>
        <v>NA</v>
      </c>
      <c r="AB55" s="178" t="str">
        <f>IFERROR(VLOOKUP($D55,Population!$B$5:$AA$175,25,FALSE),0)</f>
        <v>NA</v>
      </c>
      <c r="AC55" s="178" t="str">
        <f>IFERROR(VLOOKUP($D55,Population!$B$5:$AA$175,26,FALSE),0)</f>
        <v>NA</v>
      </c>
    </row>
    <row r="56" spans="1:29" x14ac:dyDescent="0.2">
      <c r="A56" s="1" t="s">
        <v>414</v>
      </c>
      <c r="B56" s="1" t="s">
        <v>434</v>
      </c>
      <c r="C56" s="1" t="s">
        <v>435</v>
      </c>
      <c r="D56" s="1">
        <v>9490</v>
      </c>
      <c r="E56" s="1">
        <v>2024</v>
      </c>
      <c r="F56" s="175">
        <f>VLOOKUP($D56,'2024Data to Complete Appendix C'!$C$8:$Q$313,2,FALSE)</f>
        <v>1058</v>
      </c>
      <c r="G56" s="175">
        <f>VLOOKUP($D56,'2024Data to Complete Appendix C'!$C$8:$Q$313,3,FALSE)</f>
        <v>579</v>
      </c>
      <c r="H56" s="175">
        <f>VLOOKUP($D56,'2024Data to Complete Appendix C'!$C$8:$Q$313,4,FALSE)</f>
        <v>0</v>
      </c>
      <c r="I56" s="175">
        <f>VLOOKUP($D56,'2024Data to Complete Appendix C'!$C$8:$Q$313,5,FALSE)</f>
        <v>1054</v>
      </c>
      <c r="J56" s="176">
        <f>VLOOKUP($D56,'2024Data to Complete Appendix C'!$C$8:$Q$313,6,FALSE)</f>
        <v>1.8272900000000001</v>
      </c>
      <c r="K56" s="176">
        <f>VLOOKUP($D56,'2024Data to Complete Appendix C'!$C$8:$Q$313,7,FALSE)</f>
        <v>1.95</v>
      </c>
      <c r="L56" s="176">
        <f>VLOOKUP($D56,'2024Data to Complete Appendix C'!$C$8:$Q$313,8,FALSE)</f>
        <v>1.15205</v>
      </c>
      <c r="M56" s="175">
        <f>VLOOKUP($D56,'2024Data to Complete Appendix C'!$C$8:$Q$313,9,FALSE)</f>
        <v>82.494900000000001</v>
      </c>
      <c r="N56" s="176">
        <f>VLOOKUP($D56,'2024Data to Complete Appendix C'!$C$8:$Q$313,10,FALSE)</f>
        <v>0.12471</v>
      </c>
      <c r="O56" s="177">
        <f>VLOOKUP($D56,'2024Data to Complete Appendix C'!$C$8:$Q$313,11,FALSE)</f>
        <v>0.56699999999999995</v>
      </c>
      <c r="P56" s="177">
        <f>VLOOKUP($D56,'2024Data to Complete Appendix C'!$C$8:$Q$313,12,FALSE)</f>
        <v>0.77268000000000003</v>
      </c>
      <c r="Q56" s="177">
        <f>VLOOKUP($D56,'2024Data to Complete Appendix C'!$C$8:$Q$313,13,FALSE)</f>
        <v>0.55268598700000005</v>
      </c>
      <c r="R56" s="176">
        <f>VLOOKUP($D56,'2024Data to Complete Appendix C'!$C$8:$Q$313,14,FALSE)</f>
        <v>2.2999999999999998</v>
      </c>
      <c r="S56" s="177">
        <f>VLOOKUP($D56,'2024Data to Complete Appendix C'!$C$8:$Q$313,15,FALSE)</f>
        <v>-0.407744</v>
      </c>
      <c r="T56" s="175">
        <f>IFERROR(VLOOKUP($D56,'2024_Lodging_by_WUP'!$A:$D,4,FALSE),0)</f>
        <v>0</v>
      </c>
      <c r="U56" s="175">
        <f t="shared" si="0"/>
        <v>0</v>
      </c>
      <c r="V56" s="178" t="str">
        <f>IFERROR(VLOOKUP($D56,Total_DU!$B$5:$AB$171,24,0),0)</f>
        <v>NA</v>
      </c>
      <c r="W56" s="178" t="str">
        <f>IFERROR(VLOOKUP($D56,Total_DU!$B$5:$AB$174,25,0),0)</f>
        <v>NA</v>
      </c>
      <c r="X56" s="178" t="str">
        <f>IFERROR(VLOOKUP($D56,Total_DU!$B$5:$AB$174,26,0),0)</f>
        <v>NA</v>
      </c>
      <c r="Y56" s="178" t="str">
        <f>IFERROR(VLOOKUP($D56,Total_DU!$B$5:$AB$174,27,0),0)</f>
        <v>NA</v>
      </c>
      <c r="Z56" s="178" t="str">
        <f>IFERROR(VLOOKUP($D56,Population!$B$5:$AA$175,23,FALSE),0)</f>
        <v>NA</v>
      </c>
      <c r="AA56" s="178" t="str">
        <f>IFERROR(VLOOKUP($D56,Population!$B$5:$AA$175,24,FALSE),0)</f>
        <v>NA</v>
      </c>
      <c r="AB56" s="178" t="str">
        <f>IFERROR(VLOOKUP($D56,Population!$B$5:$AA$175,25,FALSE),0)</f>
        <v>NA</v>
      </c>
      <c r="AC56" s="178" t="str">
        <f>IFERROR(VLOOKUP($D56,Population!$B$5:$AA$175,26,FALSE),0)</f>
        <v>NA</v>
      </c>
    </row>
    <row r="57" spans="1:29" x14ac:dyDescent="0.2">
      <c r="A57" s="1" t="s">
        <v>414</v>
      </c>
      <c r="B57" s="1" t="s">
        <v>436</v>
      </c>
      <c r="C57" s="1" t="s">
        <v>437</v>
      </c>
      <c r="D57" s="1">
        <v>13099</v>
      </c>
      <c r="E57" s="1">
        <v>2024</v>
      </c>
      <c r="F57" s="175">
        <f>VLOOKUP($D57,'2024Data to Complete Appendix C'!$C$8:$Q$313,2,FALSE)</f>
        <v>6687</v>
      </c>
      <c r="G57" s="175">
        <f>VLOOKUP($D57,'2024Data to Complete Appendix C'!$C$8:$Q$313,3,FALSE)</f>
        <v>3085</v>
      </c>
      <c r="H57" s="175">
        <f>VLOOKUP($D57,'2024Data to Complete Appendix C'!$C$8:$Q$313,4,FALSE)</f>
        <v>145</v>
      </c>
      <c r="I57" s="175">
        <f>VLOOKUP($D57,'2024Data to Complete Appendix C'!$C$8:$Q$313,5,FALSE)</f>
        <v>3918</v>
      </c>
      <c r="J57" s="176">
        <f>VLOOKUP($D57,'2024Data to Complete Appendix C'!$C$8:$Q$313,6,FALSE)</f>
        <v>2.1675900000000001</v>
      </c>
      <c r="K57" s="176">
        <f>VLOOKUP($D57,'2024Data to Complete Appendix C'!$C$8:$Q$313,7,FALSE)</f>
        <v>1.95</v>
      </c>
      <c r="L57" s="176">
        <f>VLOOKUP($D57,'2024Data to Complete Appendix C'!$C$8:$Q$313,8,FALSE)</f>
        <v>1.2259800000000001</v>
      </c>
      <c r="M57" s="175">
        <f>VLOOKUP($D57,'2024Data to Complete Appendix C'!$C$8:$Q$313,9,FALSE)</f>
        <v>774.94899999999996</v>
      </c>
      <c r="N57" s="176">
        <f>VLOOKUP($D57,'2024Data to Complete Appendix C'!$C$8:$Q$313,10,FALSE)</f>
        <v>0.200767</v>
      </c>
      <c r="O57" s="177">
        <f>VLOOKUP($D57,'2024Data to Complete Appendix C'!$C$8:$Q$313,11,FALSE)</f>
        <v>0.56699999999999995</v>
      </c>
      <c r="P57" s="177">
        <f>VLOOKUP($D57,'2024Data to Complete Appendix C'!$C$8:$Q$313,12,FALSE)</f>
        <v>0.77268000000000003</v>
      </c>
      <c r="Q57" s="177">
        <f>VLOOKUP($D57,'2024Data to Complete Appendix C'!$C$8:$Q$313,13,FALSE)</f>
        <v>0.55268598700000005</v>
      </c>
      <c r="R57" s="176">
        <f>VLOOKUP($D57,'2024Data to Complete Appendix C'!$C$8:$Q$313,14,FALSE)</f>
        <v>2.2999999999999998</v>
      </c>
      <c r="S57" s="177">
        <f>VLOOKUP($D57,'2024Data to Complete Appendix C'!$C$8:$Q$313,15,FALSE)</f>
        <v>-0.131332</v>
      </c>
      <c r="T57" s="175">
        <f>IFERROR(VLOOKUP($D57,'2024_Lodging_by_WUP'!$A:$D,4,FALSE),0)</f>
        <v>5</v>
      </c>
      <c r="U57" s="175">
        <f t="shared" si="0"/>
        <v>6.3558888505000004</v>
      </c>
      <c r="V57" s="178">
        <f>IFERROR(VLOOKUP($D57,Total_DU!$B$5:$AB$171,24,0),0)</f>
        <v>3654</v>
      </c>
      <c r="W57" s="178">
        <f>IFERROR(VLOOKUP($D57,Total_DU!$B$5:$AB$174,25,0),0)</f>
        <v>3782</v>
      </c>
      <c r="X57" s="178">
        <f>IFERROR(VLOOKUP($D57,Total_DU!$B$5:$AB$174,26,0),0)</f>
        <v>3918</v>
      </c>
      <c r="Y57" s="178">
        <f>IFERROR(VLOOKUP($D57,Total_DU!$B$5:$AB$174,27,0),0)</f>
        <v>4000</v>
      </c>
      <c r="Z57" s="178">
        <f>IFERROR(VLOOKUP($D57,Population!$B$5:$AA$175,23,FALSE),0)</f>
        <v>7723.760678175001</v>
      </c>
      <c r="AA57" s="178">
        <f>IFERROR(VLOOKUP($D57,Population!$B$5:$AA$175,24,FALSE),0)</f>
        <v>7977</v>
      </c>
      <c r="AB57" s="178">
        <f>IFERROR(VLOOKUP($D57,Population!$B$5:$AA$175,25,FALSE),0)</f>
        <v>8290</v>
      </c>
      <c r="AC57" s="178">
        <f>IFERROR(VLOOKUP($D57,Population!$B$5:$AA$175,26,FALSE),0)</f>
        <v>8296</v>
      </c>
    </row>
    <row r="58" spans="1:29" x14ac:dyDescent="0.2">
      <c r="A58" s="1" t="s">
        <v>414</v>
      </c>
      <c r="B58" s="1" t="s">
        <v>438</v>
      </c>
      <c r="C58" s="1" t="s">
        <v>439</v>
      </c>
      <c r="D58" s="1">
        <v>13367</v>
      </c>
      <c r="E58" s="1">
        <v>2024</v>
      </c>
      <c r="F58" s="175">
        <f>VLOOKUP($D58,'2024Data to Complete Appendix C'!$C$8:$Q$313,2,FALSE)</f>
        <v>328</v>
      </c>
      <c r="G58" s="175">
        <f>VLOOKUP($D58,'2024Data to Complete Appendix C'!$C$8:$Q$313,3,FALSE)</f>
        <v>129</v>
      </c>
      <c r="H58" s="175">
        <f>VLOOKUP($D58,'2024Data to Complete Appendix C'!$C$8:$Q$313,4,FALSE)</f>
        <v>0</v>
      </c>
      <c r="I58" s="175">
        <f>VLOOKUP($D58,'2024Data to Complete Appendix C'!$C$8:$Q$313,5,FALSE)</f>
        <v>155</v>
      </c>
      <c r="J58" s="176">
        <f>VLOOKUP($D58,'2024Data to Complete Appendix C'!$C$8:$Q$313,6,FALSE)</f>
        <v>2.54264</v>
      </c>
      <c r="K58" s="176">
        <f>VLOOKUP($D58,'2024Data to Complete Appendix C'!$C$8:$Q$313,7,FALSE)</f>
        <v>1.95</v>
      </c>
      <c r="L58" s="176">
        <f>VLOOKUP($D58,'2024Data to Complete Appendix C'!$C$8:$Q$313,8,FALSE)</f>
        <v>1.1655500000000001</v>
      </c>
      <c r="M58" s="175">
        <f>VLOOKUP($D58,'2024Data to Complete Appendix C'!$C$8:$Q$313,9,FALSE)</f>
        <v>27.847200000000001</v>
      </c>
      <c r="N58" s="176">
        <f>VLOOKUP($D58,'2024Data to Complete Appendix C'!$C$8:$Q$313,10,FALSE)</f>
        <v>0.17754300000000001</v>
      </c>
      <c r="O58" s="177">
        <f>VLOOKUP($D58,'2024Data to Complete Appendix C'!$C$8:$Q$313,11,FALSE)</f>
        <v>0.56699999999999995</v>
      </c>
      <c r="P58" s="177">
        <f>VLOOKUP($D58,'2024Data to Complete Appendix C'!$C$8:$Q$313,12,FALSE)</f>
        <v>0.77268000000000003</v>
      </c>
      <c r="Q58" s="177">
        <f>VLOOKUP($D58,'2024Data to Complete Appendix C'!$C$8:$Q$313,13,FALSE)</f>
        <v>0.55268598700000005</v>
      </c>
      <c r="R58" s="176">
        <f>VLOOKUP($D58,'2024Data to Complete Appendix C'!$C$8:$Q$313,14,FALSE)</f>
        <v>2.2999999999999998</v>
      </c>
      <c r="S58" s="177">
        <f>VLOOKUP($D58,'2024Data to Complete Appendix C'!$C$8:$Q$313,15,FALSE)</f>
        <v>-0.18342900000000001</v>
      </c>
      <c r="T58" s="175">
        <f>IFERROR(VLOOKUP($D58,'2024_Lodging_by_WUP'!$A:$D,4,FALSE),0)</f>
        <v>0</v>
      </c>
      <c r="U58" s="175">
        <f t="shared" si="0"/>
        <v>0</v>
      </c>
      <c r="V58" s="178">
        <f>IFERROR(VLOOKUP($D58,Total_DU!$B$5:$AB$171,24,0),0)</f>
        <v>0</v>
      </c>
      <c r="W58" s="178">
        <f>IFERROR(VLOOKUP($D58,Total_DU!$B$5:$AB$174,25,0),0)</f>
        <v>0</v>
      </c>
      <c r="X58" s="178">
        <f>IFERROR(VLOOKUP($D58,Total_DU!$B$5:$AB$174,26,0),0)</f>
        <v>0</v>
      </c>
      <c r="Y58" s="178">
        <f>IFERROR(VLOOKUP($D58,Total_DU!$B$5:$AB$174,27,0),0)</f>
        <v>0</v>
      </c>
      <c r="Z58" s="178">
        <f>IFERROR(VLOOKUP($D58,Population!$B$5:$AA$175,23,FALSE),0)</f>
        <v>0</v>
      </c>
      <c r="AA58" s="178">
        <f>IFERROR(VLOOKUP($D58,Population!$B$5:$AA$175,24,FALSE),0)</f>
        <v>0</v>
      </c>
      <c r="AB58" s="178">
        <f>IFERROR(VLOOKUP($D58,Population!$B$5:$AA$175,25,FALSE),0)</f>
        <v>0</v>
      </c>
      <c r="AC58" s="178">
        <f>IFERROR(VLOOKUP($D58,Population!$B$5:$AA$175,26,FALSE),0)</f>
        <v>0</v>
      </c>
    </row>
    <row r="59" spans="1:29" x14ac:dyDescent="0.2">
      <c r="A59" s="1" t="s">
        <v>440</v>
      </c>
      <c r="B59" s="1" t="s">
        <v>441</v>
      </c>
      <c r="C59" s="1" t="s">
        <v>442</v>
      </c>
      <c r="D59" s="1">
        <v>450</v>
      </c>
      <c r="E59" s="1">
        <v>2024</v>
      </c>
      <c r="F59" s="175">
        <f>VLOOKUP($D59,'2024Data to Complete Appendix C'!$C$8:$Q$313,2,FALSE)</f>
        <v>38355</v>
      </c>
      <c r="G59" s="175">
        <f>VLOOKUP($D59,'2024Data to Complete Appendix C'!$C$8:$Q$313,3,FALSE)</f>
        <v>15998</v>
      </c>
      <c r="H59" s="175">
        <f>VLOOKUP($D59,'2024Data to Complete Appendix C'!$C$8:$Q$313,4,FALSE)</f>
        <v>583</v>
      </c>
      <c r="I59" s="175">
        <f>VLOOKUP($D59,'2024Data to Complete Appendix C'!$C$8:$Q$313,5,FALSE)</f>
        <v>16977</v>
      </c>
      <c r="J59" s="176">
        <f>VLOOKUP($D59,'2024Data to Complete Appendix C'!$C$8:$Q$313,6,FALSE)</f>
        <v>2.3974899999999999</v>
      </c>
      <c r="K59" s="176">
        <f>VLOOKUP($D59,'2024Data to Complete Appendix C'!$C$8:$Q$313,7,FALSE)</f>
        <v>1.95</v>
      </c>
      <c r="L59" s="176">
        <f>VLOOKUP($D59,'2024Data to Complete Appendix C'!$C$8:$Q$313,8,FALSE)</f>
        <v>1.0110399999999999</v>
      </c>
      <c r="M59" s="175">
        <f>VLOOKUP($D59,'2024Data to Complete Appendix C'!$C$8:$Q$313,9,FALSE)</f>
        <v>217.239</v>
      </c>
      <c r="N59" s="176">
        <f>VLOOKUP($D59,'2024Data to Complete Appendix C'!$C$8:$Q$313,10,FALSE)</f>
        <v>1.33972E-2</v>
      </c>
      <c r="O59" s="177">
        <f>VLOOKUP($D59,'2024Data to Complete Appendix C'!$C$8:$Q$313,11,FALSE)</f>
        <v>0.56699999999999995</v>
      </c>
      <c r="P59" s="177">
        <f>VLOOKUP($D59,'2024Data to Complete Appendix C'!$C$8:$Q$313,12,FALSE)</f>
        <v>0.77268000000000003</v>
      </c>
      <c r="Q59" s="177">
        <f>VLOOKUP($D59,'2024Data to Complete Appendix C'!$C$8:$Q$313,13,FALSE)</f>
        <v>0.71858287799999998</v>
      </c>
      <c r="R59" s="176">
        <f>VLOOKUP($D59,'2024Data to Complete Appendix C'!$C$8:$Q$313,14,FALSE)</f>
        <v>2.2999999999999998</v>
      </c>
      <c r="S59" s="177">
        <f>VLOOKUP($D59,'2024Data to Complete Appendix C'!$C$8:$Q$313,15,FALSE)</f>
        <v>-0.44248700000000002</v>
      </c>
      <c r="T59" s="175">
        <f>IFERROR(VLOOKUP($D59,'2024_Lodging_by_WUP'!$A:$D,4,FALSE),0)</f>
        <v>938</v>
      </c>
      <c r="U59" s="175">
        <f t="shared" si="0"/>
        <v>1550.2707009971998</v>
      </c>
      <c r="V59" s="178">
        <f>IFERROR(VLOOKUP($D59,Total_DU!$B$5:$AB$171,24,0),0)</f>
        <v>12508</v>
      </c>
      <c r="W59" s="178">
        <f>IFERROR(VLOOKUP($D59,Total_DU!$B$5:$AB$174,25,0),0)</f>
        <v>12508</v>
      </c>
      <c r="X59" s="178">
        <f>IFERROR(VLOOKUP($D59,Total_DU!$B$5:$AB$174,26,0),0)</f>
        <v>13370</v>
      </c>
      <c r="Y59" s="178">
        <f>IFERROR(VLOOKUP($D59,Total_DU!$B$5:$AB$174,27,0),0)</f>
        <v>13511</v>
      </c>
      <c r="Z59" s="178">
        <f>IFERROR(VLOOKUP($D59,Population!$B$5:$AA$175,23,FALSE),0)</f>
        <v>31340.8490721862</v>
      </c>
      <c r="AA59" s="178">
        <f>IFERROR(VLOOKUP($D59,Population!$B$5:$AA$175,24,FALSE),0)</f>
        <v>30825</v>
      </c>
      <c r="AB59" s="178">
        <f>IFERROR(VLOOKUP($D59,Population!$B$5:$AA$175,25,FALSE),0)</f>
        <v>33267</v>
      </c>
      <c r="AC59" s="178">
        <f>IFERROR(VLOOKUP($D59,Population!$B$5:$AA$175,26,FALSE),0)</f>
        <v>34139</v>
      </c>
    </row>
    <row r="60" spans="1:29" x14ac:dyDescent="0.2">
      <c r="A60" s="1" t="s">
        <v>440</v>
      </c>
      <c r="B60" s="1" t="s">
        <v>443</v>
      </c>
      <c r="C60" s="1" t="s">
        <v>444</v>
      </c>
      <c r="D60" s="1">
        <v>1776</v>
      </c>
      <c r="E60" s="1">
        <v>2024</v>
      </c>
      <c r="F60" s="175">
        <f>VLOOKUP($D60,'2024Data to Complete Appendix C'!$C$8:$Q$313,2,FALSE)</f>
        <v>51867</v>
      </c>
      <c r="G60" s="175">
        <f>VLOOKUP($D60,'2024Data to Complete Appendix C'!$C$8:$Q$313,3,FALSE)</f>
        <v>18496</v>
      </c>
      <c r="H60" s="175">
        <f>VLOOKUP($D60,'2024Data to Complete Appendix C'!$C$8:$Q$313,4,FALSE)</f>
        <v>1168</v>
      </c>
      <c r="I60" s="175">
        <f>VLOOKUP($D60,'2024Data to Complete Appendix C'!$C$8:$Q$313,5,FALSE)</f>
        <v>19703</v>
      </c>
      <c r="J60" s="176">
        <f>VLOOKUP($D60,'2024Data to Complete Appendix C'!$C$8:$Q$313,6,FALSE)</f>
        <v>2.80423</v>
      </c>
      <c r="K60" s="176">
        <f>VLOOKUP($D60,'2024Data to Complete Appendix C'!$C$8:$Q$313,7,FALSE)</f>
        <v>1.95</v>
      </c>
      <c r="L60" s="176">
        <f>VLOOKUP($D60,'2024Data to Complete Appendix C'!$C$8:$Q$313,8,FALSE)</f>
        <v>1.0602799999999999</v>
      </c>
      <c r="M60" s="175">
        <f>VLOOKUP($D60,'2024Data to Complete Appendix C'!$C$8:$Q$313,9,FALSE)</f>
        <v>1603.45</v>
      </c>
      <c r="N60" s="176">
        <f>VLOOKUP($D60,'2024Data to Complete Appendix C'!$C$8:$Q$313,10,FALSE)</f>
        <v>7.9775600000000002E-2</v>
      </c>
      <c r="O60" s="177">
        <f>VLOOKUP($D60,'2024Data to Complete Appendix C'!$C$8:$Q$313,11,FALSE)</f>
        <v>0.56699999999999995</v>
      </c>
      <c r="P60" s="177">
        <f>VLOOKUP($D60,'2024Data to Complete Appendix C'!$C$8:$Q$313,12,FALSE)</f>
        <v>0.77268000000000003</v>
      </c>
      <c r="Q60" s="177">
        <f>VLOOKUP($D60,'2024Data to Complete Appendix C'!$C$8:$Q$313,13,FALSE)</f>
        <v>0.71858287799999998</v>
      </c>
      <c r="R60" s="176">
        <f>VLOOKUP($D60,'2024Data to Complete Appendix C'!$C$8:$Q$313,14,FALSE)</f>
        <v>2.2999999999999998</v>
      </c>
      <c r="S60" s="177">
        <f>VLOOKUP($D60,'2024Data to Complete Appendix C'!$C$8:$Q$313,15,FALSE)</f>
        <v>6.1330099999999999E-2</v>
      </c>
      <c r="T60" s="175">
        <f>IFERROR(VLOOKUP($D60,'2024_Lodging_by_WUP'!$A:$D,4,FALSE),0)</f>
        <v>585</v>
      </c>
      <c r="U60" s="175">
        <f t="shared" si="0"/>
        <v>966.85326234899992</v>
      </c>
      <c r="V60" s="178">
        <f>IFERROR(VLOOKUP($D60,Total_DU!$B$5:$AB$171,24,0),0)</f>
        <v>14770</v>
      </c>
      <c r="W60" s="178">
        <f>IFERROR(VLOOKUP($D60,Total_DU!$B$5:$AB$174,25,0),0)</f>
        <v>14947</v>
      </c>
      <c r="X60" s="178">
        <f>IFERROR(VLOOKUP($D60,Total_DU!$B$5:$AB$174,26,0),0)</f>
        <v>15406</v>
      </c>
      <c r="Y60" s="178">
        <f>IFERROR(VLOOKUP($D60,Total_DU!$B$5:$AB$174,27,0),0)</f>
        <v>16580</v>
      </c>
      <c r="Z60" s="178">
        <f>IFERROR(VLOOKUP($D60,Population!$B$5:$AA$175,23,FALSE),0)</f>
        <v>41747</v>
      </c>
      <c r="AA60" s="178">
        <f>IFERROR(VLOOKUP($D60,Population!$B$5:$AA$175,24,FALSE),0)</f>
        <v>42056</v>
      </c>
      <c r="AB60" s="178">
        <f>IFERROR(VLOOKUP($D60,Population!$B$5:$AA$175,25,FALSE),0)</f>
        <v>43576</v>
      </c>
      <c r="AC60" s="178">
        <f>IFERROR(VLOOKUP($D60,Population!$B$5:$AA$175,26,FALSE),0)</f>
        <v>46693</v>
      </c>
    </row>
    <row r="61" spans="1:29" x14ac:dyDescent="0.2">
      <c r="A61" s="1" t="s">
        <v>440</v>
      </c>
      <c r="B61" s="1" t="s">
        <v>445</v>
      </c>
      <c r="C61" s="1" t="s">
        <v>446</v>
      </c>
      <c r="D61" s="1">
        <v>1787</v>
      </c>
      <c r="E61" s="1">
        <v>2024</v>
      </c>
      <c r="F61" s="175">
        <f>VLOOKUP($D61,'2024Data to Complete Appendix C'!$C$8:$Q$313,2,FALSE)</f>
        <v>823</v>
      </c>
      <c r="G61" s="175">
        <f>VLOOKUP($D61,'2024Data to Complete Appendix C'!$C$8:$Q$313,3,FALSE)</f>
        <v>328</v>
      </c>
      <c r="H61" s="175">
        <f>VLOOKUP($D61,'2024Data to Complete Appendix C'!$C$8:$Q$313,4,FALSE)</f>
        <v>0</v>
      </c>
      <c r="I61" s="175">
        <f>VLOOKUP($D61,'2024Data to Complete Appendix C'!$C$8:$Q$313,5,FALSE)</f>
        <v>330</v>
      </c>
      <c r="J61" s="176">
        <f>VLOOKUP($D61,'2024Data to Complete Appendix C'!$C$8:$Q$313,6,FALSE)</f>
        <v>2.50915</v>
      </c>
      <c r="K61" s="176">
        <f>VLOOKUP($D61,'2024Data to Complete Appendix C'!$C$8:$Q$313,7,FALSE)</f>
        <v>1.95</v>
      </c>
      <c r="L61" s="176">
        <f>VLOOKUP($D61,'2024Data to Complete Appendix C'!$C$8:$Q$313,8,FALSE)</f>
        <v>1.0016799999999999</v>
      </c>
      <c r="M61" s="175">
        <f>VLOOKUP($D61,'2024Data to Complete Appendix C'!$C$8:$Q$313,9,FALSE)</f>
        <v>0.70845000000000002</v>
      </c>
      <c r="N61" s="176">
        <f>VLOOKUP($D61,'2024Data to Complete Appendix C'!$C$8:$Q$313,10,FALSE)</f>
        <v>2.1553000000000002E-3</v>
      </c>
      <c r="O61" s="177">
        <f>VLOOKUP($D61,'2024Data to Complete Appendix C'!$C$8:$Q$313,11,FALSE)</f>
        <v>0.56699999999999995</v>
      </c>
      <c r="P61" s="177">
        <f>VLOOKUP($D61,'2024Data to Complete Appendix C'!$C$8:$Q$313,12,FALSE)</f>
        <v>0.77268000000000003</v>
      </c>
      <c r="Q61" s="177">
        <f>VLOOKUP($D61,'2024Data to Complete Appendix C'!$C$8:$Q$313,13,FALSE)</f>
        <v>0.71858287799999998</v>
      </c>
      <c r="R61" s="176">
        <f>VLOOKUP($D61,'2024Data to Complete Appendix C'!$C$8:$Q$313,14,FALSE)</f>
        <v>2.2999999999999998</v>
      </c>
      <c r="S61" s="177">
        <f>VLOOKUP($D61,'2024Data to Complete Appendix C'!$C$8:$Q$313,15,FALSE)</f>
        <v>-0.55100199999999999</v>
      </c>
      <c r="T61" s="175">
        <f>IFERROR(VLOOKUP($D61,'2024_Lodging_by_WUP'!$A:$D,4,FALSE),0)</f>
        <v>1</v>
      </c>
      <c r="U61" s="175">
        <f t="shared" si="0"/>
        <v>1.6527406193999998</v>
      </c>
      <c r="V61" s="178">
        <f>IFERROR(VLOOKUP($D61,Total_DU!$B$5:$AB$171,24,0),0)</f>
        <v>0</v>
      </c>
      <c r="W61" s="178">
        <f>IFERROR(VLOOKUP($D61,Total_DU!$B$5:$AB$174,25,0),0)</f>
        <v>0</v>
      </c>
      <c r="X61" s="178">
        <f>IFERROR(VLOOKUP($D61,Total_DU!$B$5:$AB$174,26,0),0)</f>
        <v>0</v>
      </c>
      <c r="Y61" s="178">
        <f>IFERROR(VLOOKUP($D61,Total_DU!$B$5:$AB$174,27,0),0)</f>
        <v>0</v>
      </c>
      <c r="Z61" s="178">
        <f>IFERROR(VLOOKUP($D61,Population!$B$5:$AA$175,23,FALSE),0)</f>
        <v>0</v>
      </c>
      <c r="AA61" s="178">
        <f>IFERROR(VLOOKUP($D61,Population!$B$5:$AA$175,24,FALSE),0)</f>
        <v>0</v>
      </c>
      <c r="AB61" s="178">
        <f>IFERROR(VLOOKUP($D61,Population!$B$5:$AA$175,25,FALSE),0)</f>
        <v>0</v>
      </c>
      <c r="AC61" s="178">
        <f>IFERROR(VLOOKUP($D61,Population!$B$5:$AA$175,26,FALSE),0)</f>
        <v>0</v>
      </c>
    </row>
    <row r="62" spans="1:29" x14ac:dyDescent="0.2">
      <c r="A62" s="1" t="s">
        <v>440</v>
      </c>
      <c r="B62" s="1" t="s">
        <v>447</v>
      </c>
      <c r="C62" s="1" t="s">
        <v>448</v>
      </c>
      <c r="D62" s="1">
        <v>2062</v>
      </c>
      <c r="E62" s="1">
        <v>2024</v>
      </c>
      <c r="F62" s="175">
        <f>VLOOKUP($D62,'2024Data to Complete Appendix C'!$C$8:$Q$313,2,FALSE)</f>
        <v>587678</v>
      </c>
      <c r="G62" s="175">
        <f>VLOOKUP($D62,'2024Data to Complete Appendix C'!$C$8:$Q$313,3,FALSE)</f>
        <v>245436</v>
      </c>
      <c r="H62" s="175">
        <f>VLOOKUP($D62,'2024Data to Complete Appendix C'!$C$8:$Q$313,4,FALSE)</f>
        <v>22214</v>
      </c>
      <c r="I62" s="175">
        <f>VLOOKUP($D62,'2024Data to Complete Appendix C'!$C$8:$Q$313,5,FALSE)</f>
        <v>265831</v>
      </c>
      <c r="J62" s="176">
        <f>VLOOKUP($D62,'2024Data to Complete Appendix C'!$C$8:$Q$313,6,FALSE)</f>
        <v>2.3944200000000002</v>
      </c>
      <c r="K62" s="176">
        <f>VLOOKUP($D62,'2024Data to Complete Appendix C'!$C$8:$Q$313,7,FALSE)</f>
        <v>1.95</v>
      </c>
      <c r="L62" s="176">
        <f>VLOOKUP($D62,'2024Data to Complete Appendix C'!$C$8:$Q$313,8,FALSE)</f>
        <v>1.0109600000000001</v>
      </c>
      <c r="M62" s="175">
        <f>VLOOKUP($D62,'2024Data to Complete Appendix C'!$C$8:$Q$313,9,FALSE)</f>
        <v>3303.91</v>
      </c>
      <c r="N62" s="176">
        <f>VLOOKUP($D62,'2024Data to Complete Appendix C'!$C$8:$Q$313,10,FALSE)</f>
        <v>1.32826E-2</v>
      </c>
      <c r="O62" s="177">
        <f>VLOOKUP($D62,'2024Data to Complete Appendix C'!$C$8:$Q$313,11,FALSE)</f>
        <v>0.56699999999999995</v>
      </c>
      <c r="P62" s="177">
        <f>VLOOKUP($D62,'2024Data to Complete Appendix C'!$C$8:$Q$313,12,FALSE)</f>
        <v>0.77268000000000003</v>
      </c>
      <c r="Q62" s="177">
        <f>VLOOKUP($D62,'2024Data to Complete Appendix C'!$C$8:$Q$313,13,FALSE)</f>
        <v>0.71858287799999998</v>
      </c>
      <c r="R62" s="176">
        <f>VLOOKUP($D62,'2024Data to Complete Appendix C'!$C$8:$Q$313,14,FALSE)</f>
        <v>2.2999999999999998</v>
      </c>
      <c r="S62" s="177">
        <f>VLOOKUP($D62,'2024Data to Complete Appendix C'!$C$8:$Q$313,15,FALSE)</f>
        <v>0.73428800000000005</v>
      </c>
      <c r="T62" s="175">
        <f>IFERROR(VLOOKUP($D62,'2024_Lodging_by_WUP'!$A:$D,4,FALSE),0)</f>
        <v>22289</v>
      </c>
      <c r="U62" s="175">
        <f t="shared" si="0"/>
        <v>36837.935665806595</v>
      </c>
      <c r="V62" s="178">
        <f>IFERROR(VLOOKUP($D62,Total_DU!$B$5:$AB$171,24,0),0)</f>
        <v>258393</v>
      </c>
      <c r="W62" s="178">
        <f>IFERROR(VLOOKUP($D62,Total_DU!$B$5:$AB$174,25,0),0)</f>
        <v>260957</v>
      </c>
      <c r="X62" s="178">
        <f>IFERROR(VLOOKUP($D62,Total_DU!$B$5:$AB$174,26,0),0)</f>
        <v>261728</v>
      </c>
      <c r="Y62" s="178">
        <f>IFERROR(VLOOKUP($D62,Total_DU!$B$5:$AB$174,27,0),0)</f>
        <v>264885</v>
      </c>
      <c r="Z62" s="178">
        <f>IFERROR(VLOOKUP($D62,Population!$B$5:$AA$175,23,FALSE),0)</f>
        <v>719482</v>
      </c>
      <c r="AA62" s="178">
        <f>IFERROR(VLOOKUP($D62,Population!$B$5:$AA$175,24,FALSE),0)</f>
        <v>714114</v>
      </c>
      <c r="AB62" s="178">
        <f>IFERROR(VLOOKUP($D62,Population!$B$5:$AA$175,25,FALSE),0)</f>
        <v>725825</v>
      </c>
      <c r="AC62" s="178">
        <f>IFERROR(VLOOKUP($D62,Population!$B$5:$AA$175,26,FALSE),0)</f>
        <v>733866</v>
      </c>
    </row>
    <row r="63" spans="1:29" x14ac:dyDescent="0.2">
      <c r="A63" s="1" t="s">
        <v>440</v>
      </c>
      <c r="B63" s="1" t="s">
        <v>449</v>
      </c>
      <c r="C63" s="1" t="s">
        <v>450</v>
      </c>
      <c r="D63" s="1">
        <v>2285</v>
      </c>
      <c r="E63" s="1">
        <v>2024</v>
      </c>
      <c r="F63" s="175">
        <f>VLOOKUP($D63,'2024Data to Complete Appendix C'!$C$8:$Q$313,2,FALSE)</f>
        <v>2436</v>
      </c>
      <c r="G63" s="175">
        <f>VLOOKUP($D63,'2024Data to Complete Appendix C'!$C$8:$Q$313,3,FALSE)</f>
        <v>763</v>
      </c>
      <c r="H63" s="175">
        <f>VLOOKUP($D63,'2024Data to Complete Appendix C'!$C$8:$Q$313,4,FALSE)</f>
        <v>0</v>
      </c>
      <c r="I63" s="175">
        <f>VLOOKUP($D63,'2024Data to Complete Appendix C'!$C$8:$Q$313,5,FALSE)</f>
        <v>793</v>
      </c>
      <c r="J63" s="176">
        <f>VLOOKUP($D63,'2024Data to Complete Appendix C'!$C$8:$Q$313,6,FALSE)</f>
        <v>3.1926600000000001</v>
      </c>
      <c r="K63" s="176">
        <f>VLOOKUP($D63,'2024Data to Complete Appendix C'!$C$8:$Q$313,7,FALSE)</f>
        <v>1.95</v>
      </c>
      <c r="L63" s="176">
        <f>VLOOKUP($D63,'2024Data to Complete Appendix C'!$C$8:$Q$313,8,FALSE)</f>
        <v>1.0132099999999999</v>
      </c>
      <c r="M63" s="175">
        <f>VLOOKUP($D63,'2024Data to Complete Appendix C'!$C$8:$Q$313,9,FALSE)</f>
        <v>16.5076</v>
      </c>
      <c r="N63" s="176">
        <f>VLOOKUP($D63,'2024Data to Complete Appendix C'!$C$8:$Q$313,10,FALSE)</f>
        <v>2.1177000000000001E-2</v>
      </c>
      <c r="O63" s="177">
        <f>VLOOKUP($D63,'2024Data to Complete Appendix C'!$C$8:$Q$313,11,FALSE)</f>
        <v>0.56699999999999995</v>
      </c>
      <c r="P63" s="177">
        <f>VLOOKUP($D63,'2024Data to Complete Appendix C'!$C$8:$Q$313,12,FALSE)</f>
        <v>0.77268000000000003</v>
      </c>
      <c r="Q63" s="177">
        <f>VLOOKUP($D63,'2024Data to Complete Appendix C'!$C$8:$Q$313,13,FALSE)</f>
        <v>0.71858287799999998</v>
      </c>
      <c r="R63" s="176">
        <f>VLOOKUP($D63,'2024Data to Complete Appendix C'!$C$8:$Q$313,14,FALSE)</f>
        <v>2.2999999999999998</v>
      </c>
      <c r="S63" s="177">
        <f>VLOOKUP($D63,'2024Data to Complete Appendix C'!$C$8:$Q$313,15,FALSE)</f>
        <v>-0.33400800000000003</v>
      </c>
      <c r="T63" s="175">
        <f>IFERROR(VLOOKUP($D63,'2024_Lodging_by_WUP'!$A:$D,4,FALSE),0)</f>
        <v>0</v>
      </c>
      <c r="U63" s="175">
        <f t="shared" ref="U63:U124" si="1">IF(T63&gt;0,T63*Q63*R63,0)</f>
        <v>0</v>
      </c>
      <c r="V63" s="178">
        <f>IFERROR(VLOOKUP($D63,Total_DU!$B$5:$AB$171,24,0),0)</f>
        <v>419</v>
      </c>
      <c r="W63" s="178">
        <f>IFERROR(VLOOKUP($D63,Total_DU!$B$5:$AB$174,25,0),0)</f>
        <v>431</v>
      </c>
      <c r="X63" s="178">
        <f>IFERROR(VLOOKUP($D63,Total_DU!$B$5:$AB$174,26,0),0)</f>
        <v>434</v>
      </c>
      <c r="Y63" s="178">
        <f>IFERROR(VLOOKUP($D63,Total_DU!$B$5:$AB$174,27,0),0)</f>
        <v>435</v>
      </c>
      <c r="Z63" s="178">
        <f>IFERROR(VLOOKUP($D63,Population!$B$5:$AA$175,23,FALSE),0)</f>
        <v>1276.6453474085686</v>
      </c>
      <c r="AA63" s="178">
        <f>IFERROR(VLOOKUP($D63,Population!$B$5:$AA$175,24,FALSE),0)</f>
        <v>1313</v>
      </c>
      <c r="AB63" s="178">
        <f>IFERROR(VLOOKUP($D63,Population!$B$5:$AA$175,25,FALSE),0)</f>
        <v>1322</v>
      </c>
      <c r="AC63" s="178">
        <f>IFERROR(VLOOKUP($D63,Population!$B$5:$AA$175,26,FALSE),0)</f>
        <v>1373.2764289834372</v>
      </c>
    </row>
    <row r="64" spans="1:29" x14ac:dyDescent="0.2">
      <c r="A64" s="1" t="s">
        <v>440</v>
      </c>
      <c r="B64" s="1" t="s">
        <v>451</v>
      </c>
      <c r="C64" s="1" t="s">
        <v>452</v>
      </c>
      <c r="D64" s="1">
        <v>2707</v>
      </c>
      <c r="E64" s="1">
        <v>2024</v>
      </c>
      <c r="F64" s="175">
        <f>VLOOKUP($D64,'2024Data to Complete Appendix C'!$C$8:$Q$313,2,FALSE)</f>
        <v>3334</v>
      </c>
      <c r="G64" s="175">
        <f>VLOOKUP($D64,'2024Data to Complete Appendix C'!$C$8:$Q$313,3,FALSE)</f>
        <v>1241</v>
      </c>
      <c r="H64" s="175">
        <f>VLOOKUP($D64,'2024Data to Complete Appendix C'!$C$8:$Q$313,4,FALSE)</f>
        <v>17</v>
      </c>
      <c r="I64" s="175">
        <f>VLOOKUP($D64,'2024Data to Complete Appendix C'!$C$8:$Q$313,5,FALSE)</f>
        <v>1298</v>
      </c>
      <c r="J64" s="176">
        <f>VLOOKUP($D64,'2024Data to Complete Appendix C'!$C$8:$Q$313,6,FALSE)</f>
        <v>2.6865399999999999</v>
      </c>
      <c r="K64" s="176">
        <f>VLOOKUP($D64,'2024Data to Complete Appendix C'!$C$8:$Q$313,7,FALSE)</f>
        <v>1.95</v>
      </c>
      <c r="L64" s="176">
        <f>VLOOKUP($D64,'2024Data to Complete Appendix C'!$C$8:$Q$313,8,FALSE)</f>
        <v>1.00824</v>
      </c>
      <c r="M64" s="175">
        <f>VLOOKUP($D64,'2024Data to Complete Appendix C'!$C$8:$Q$313,9,FALSE)</f>
        <v>14.087</v>
      </c>
      <c r="N64" s="176">
        <f>VLOOKUP($D64,'2024Data to Complete Appendix C'!$C$8:$Q$313,10,FALSE)</f>
        <v>1.1224E-2</v>
      </c>
      <c r="O64" s="177">
        <f>VLOOKUP($D64,'2024Data to Complete Appendix C'!$C$8:$Q$313,11,FALSE)</f>
        <v>0.56699999999999995</v>
      </c>
      <c r="P64" s="177">
        <f>VLOOKUP($D64,'2024Data to Complete Appendix C'!$C$8:$Q$313,12,FALSE)</f>
        <v>0.77268000000000003</v>
      </c>
      <c r="Q64" s="177">
        <f>VLOOKUP($D64,'2024Data to Complete Appendix C'!$C$8:$Q$313,13,FALSE)</f>
        <v>0.71858287799999998</v>
      </c>
      <c r="R64" s="176">
        <f>VLOOKUP($D64,'2024Data to Complete Appendix C'!$C$8:$Q$313,14,FALSE)</f>
        <v>2.2999999999999998</v>
      </c>
      <c r="S64" s="177">
        <f>VLOOKUP($D64,'2024Data to Complete Appendix C'!$C$8:$Q$313,15,FALSE)</f>
        <v>5.2785900000000003</v>
      </c>
      <c r="T64" s="175">
        <f>IFERROR(VLOOKUP($D64,'2024_Lodging_by_WUP'!$A:$D,4,FALSE),0)</f>
        <v>34</v>
      </c>
      <c r="U64" s="175">
        <f t="shared" si="1"/>
        <v>56.193181059599993</v>
      </c>
      <c r="V64" s="178" t="str">
        <f>IFERROR(VLOOKUP($D64,Total_DU!$B$5:$AB$171,24,0),0)</f>
        <v>NA</v>
      </c>
      <c r="W64" s="178" t="str">
        <f>IFERROR(VLOOKUP($D64,Total_DU!$B$5:$AB$174,25,0),0)</f>
        <v>NA</v>
      </c>
      <c r="X64" s="178" t="str">
        <f>IFERROR(VLOOKUP($D64,Total_DU!$B$5:$AB$174,26,0),0)</f>
        <v>NA</v>
      </c>
      <c r="Y64" s="178" t="str">
        <f>IFERROR(VLOOKUP($D64,Total_DU!$B$5:$AB$174,27,0),0)</f>
        <v>NA</v>
      </c>
      <c r="Z64" s="178" t="str">
        <f>IFERROR(VLOOKUP($D64,Population!$B$5:$AA$175,23,FALSE),0)</f>
        <v>NA</v>
      </c>
      <c r="AA64" s="178" t="str">
        <f>IFERROR(VLOOKUP($D64,Population!$B$5:$AA$175,24,FALSE),0)</f>
        <v>NA</v>
      </c>
      <c r="AB64" s="178" t="str">
        <f>IFERROR(VLOOKUP($D64,Population!$B$5:$AA$175,25,FALSE),0)</f>
        <v>NA</v>
      </c>
      <c r="AC64" s="178" t="str">
        <f>IFERROR(VLOOKUP($D64,Population!$B$5:$AA$175,26,FALSE),0)</f>
        <v>NA</v>
      </c>
    </row>
    <row r="65" spans="1:29" x14ac:dyDescent="0.2">
      <c r="A65" s="1" t="s">
        <v>440</v>
      </c>
      <c r="B65" s="1" t="s">
        <v>453</v>
      </c>
      <c r="C65" s="1" t="s">
        <v>454</v>
      </c>
      <c r="D65" s="1">
        <v>2888</v>
      </c>
      <c r="E65" s="1">
        <v>2024</v>
      </c>
      <c r="F65" s="175">
        <f>VLOOKUP($D65,'2024Data to Complete Appendix C'!$C$8:$Q$313,2,FALSE)</f>
        <v>388</v>
      </c>
      <c r="G65" s="175">
        <f>VLOOKUP($D65,'2024Data to Complete Appendix C'!$C$8:$Q$313,3,FALSE)</f>
        <v>205</v>
      </c>
      <c r="H65" s="175">
        <f>VLOOKUP($D65,'2024Data to Complete Appendix C'!$C$8:$Q$313,4,FALSE)</f>
        <v>0</v>
      </c>
      <c r="I65" s="175">
        <f>VLOOKUP($D65,'2024Data to Complete Appendix C'!$C$8:$Q$313,5,FALSE)</f>
        <v>262</v>
      </c>
      <c r="J65" s="176">
        <f>VLOOKUP($D65,'2024Data to Complete Appendix C'!$C$8:$Q$313,6,FALSE)</f>
        <v>1.8926799999999999</v>
      </c>
      <c r="K65" s="176">
        <f>VLOOKUP($D65,'2024Data to Complete Appendix C'!$C$8:$Q$313,7,FALSE)</f>
        <v>1.95</v>
      </c>
      <c r="L65" s="176">
        <f>VLOOKUP($D65,'2024Data to Complete Appendix C'!$C$8:$Q$313,8,FALSE)</f>
        <v>1.07443</v>
      </c>
      <c r="M65" s="175">
        <f>VLOOKUP($D65,'2024Data to Complete Appendix C'!$C$8:$Q$313,9,FALSE)</f>
        <v>14.809699999999999</v>
      </c>
      <c r="N65" s="176">
        <f>VLOOKUP($D65,'2024Data to Complete Appendix C'!$C$8:$Q$313,10,FALSE)</f>
        <v>6.7375000000000004E-2</v>
      </c>
      <c r="O65" s="177">
        <f>VLOOKUP($D65,'2024Data to Complete Appendix C'!$C$8:$Q$313,11,FALSE)</f>
        <v>0.56699999999999995</v>
      </c>
      <c r="P65" s="177">
        <f>VLOOKUP($D65,'2024Data to Complete Appendix C'!$C$8:$Q$313,12,FALSE)</f>
        <v>0.77268000000000003</v>
      </c>
      <c r="Q65" s="177">
        <f>VLOOKUP($D65,'2024Data to Complete Appendix C'!$C$8:$Q$313,13,FALSE)</f>
        <v>0.71858287799999998</v>
      </c>
      <c r="R65" s="176">
        <f>VLOOKUP($D65,'2024Data to Complete Appendix C'!$C$8:$Q$313,14,FALSE)</f>
        <v>2.2999999999999998</v>
      </c>
      <c r="S65" s="177">
        <f>VLOOKUP($D65,'2024Data to Complete Appendix C'!$C$8:$Q$313,15,FALSE)</f>
        <v>1.9339599999999999</v>
      </c>
      <c r="T65" s="175">
        <f>IFERROR(VLOOKUP($D65,'2024_Lodging_by_WUP'!$A:$D,4,FALSE),0)</f>
        <v>0</v>
      </c>
      <c r="U65" s="175">
        <f t="shared" si="1"/>
        <v>0</v>
      </c>
      <c r="V65" s="178">
        <f>IFERROR(VLOOKUP($D65,Total_DU!$B$5:$AB$171,24,0),0)</f>
        <v>0</v>
      </c>
      <c r="W65" s="178">
        <f>IFERROR(VLOOKUP($D65,Total_DU!$B$5:$AB$174,25,0),0)</f>
        <v>0</v>
      </c>
      <c r="X65" s="178">
        <f>IFERROR(VLOOKUP($D65,Total_DU!$B$5:$AB$174,26,0),0)</f>
        <v>0</v>
      </c>
      <c r="Y65" s="178">
        <f>IFERROR(VLOOKUP($D65,Total_DU!$B$5:$AB$174,27,0),0)</f>
        <v>0</v>
      </c>
      <c r="Z65" s="178">
        <f>IFERROR(VLOOKUP($D65,Population!$B$5:$AA$175,23,FALSE),0)</f>
        <v>0</v>
      </c>
      <c r="AA65" s="178">
        <f>IFERROR(VLOOKUP($D65,Population!$B$5:$AA$175,24,FALSE),0)</f>
        <v>0</v>
      </c>
      <c r="AB65" s="178">
        <f>IFERROR(VLOOKUP($D65,Population!$B$5:$AA$175,25,FALSE),0)</f>
        <v>0</v>
      </c>
      <c r="AC65" s="178">
        <f>IFERROR(VLOOKUP($D65,Population!$B$5:$AA$175,26,FALSE),0)</f>
        <v>0</v>
      </c>
    </row>
    <row r="66" spans="1:29" x14ac:dyDescent="0.2">
      <c r="A66" s="1" t="s">
        <v>440</v>
      </c>
      <c r="B66" s="1" t="s">
        <v>455</v>
      </c>
      <c r="C66" s="1" t="s">
        <v>456</v>
      </c>
      <c r="D66" s="1">
        <v>4757</v>
      </c>
      <c r="E66" s="1">
        <v>2024</v>
      </c>
      <c r="F66" s="175">
        <f>VLOOKUP($D66,'2024Data to Complete Appendix C'!$C$8:$Q$313,2,FALSE)</f>
        <v>599</v>
      </c>
      <c r="G66" s="175">
        <f>VLOOKUP($D66,'2024Data to Complete Appendix C'!$C$8:$Q$313,3,FALSE)</f>
        <v>367</v>
      </c>
      <c r="H66" s="175">
        <f>VLOOKUP($D66,'2024Data to Complete Appendix C'!$C$8:$Q$313,4,FALSE)</f>
        <v>0</v>
      </c>
      <c r="I66" s="175">
        <f>VLOOKUP($D66,'2024Data to Complete Appendix C'!$C$8:$Q$313,5,FALSE)</f>
        <v>744</v>
      </c>
      <c r="J66" s="176">
        <f>VLOOKUP($D66,'2024Data to Complete Appendix C'!$C$8:$Q$313,6,FALSE)</f>
        <v>1.63215</v>
      </c>
      <c r="K66" s="176">
        <f>VLOOKUP($D66,'2024Data to Complete Appendix C'!$C$8:$Q$313,7,FALSE)</f>
        <v>1.95</v>
      </c>
      <c r="L66" s="176">
        <f>VLOOKUP($D66,'2024Data to Complete Appendix C'!$C$8:$Q$313,8,FALSE)</f>
        <v>1.07443</v>
      </c>
      <c r="M66" s="175">
        <f>VLOOKUP($D66,'2024Data to Complete Appendix C'!$C$8:$Q$313,9,FALSE)</f>
        <v>22.863399999999999</v>
      </c>
      <c r="N66" s="176">
        <f>VLOOKUP($D66,'2024Data to Complete Appendix C'!$C$8:$Q$313,10,FALSE)</f>
        <v>5.8644599999999998E-2</v>
      </c>
      <c r="O66" s="177">
        <f>VLOOKUP($D66,'2024Data to Complete Appendix C'!$C$8:$Q$313,11,FALSE)</f>
        <v>0.56699999999999995</v>
      </c>
      <c r="P66" s="177">
        <f>VLOOKUP($D66,'2024Data to Complete Appendix C'!$C$8:$Q$313,12,FALSE)</f>
        <v>0.77268000000000003</v>
      </c>
      <c r="Q66" s="177">
        <f>VLOOKUP($D66,'2024Data to Complete Appendix C'!$C$8:$Q$313,13,FALSE)</f>
        <v>0.71858287799999998</v>
      </c>
      <c r="R66" s="176">
        <f>VLOOKUP($D66,'2024Data to Complete Appendix C'!$C$8:$Q$313,14,FALSE)</f>
        <v>2.2999999999999998</v>
      </c>
      <c r="S66" s="177">
        <f>VLOOKUP($D66,'2024Data to Complete Appendix C'!$C$8:$Q$313,15,FALSE)</f>
        <v>1.9339599999999999</v>
      </c>
      <c r="T66" s="175">
        <f>IFERROR(VLOOKUP($D66,'2024_Lodging_by_WUP'!$A:$D,4,FALSE),0)</f>
        <v>0</v>
      </c>
      <c r="U66" s="175">
        <f t="shared" si="1"/>
        <v>0</v>
      </c>
      <c r="V66" s="178" t="str">
        <f>IFERROR(VLOOKUP($D66,Total_DU!$B$5:$AB$171,24,0),0)</f>
        <v>NA</v>
      </c>
      <c r="W66" s="178" t="str">
        <f>IFERROR(VLOOKUP($D66,Total_DU!$B$5:$AB$174,25,0),0)</f>
        <v>NA</v>
      </c>
      <c r="X66" s="178" t="str">
        <f>IFERROR(VLOOKUP($D66,Total_DU!$B$5:$AB$174,26,0),0)</f>
        <v>NA</v>
      </c>
      <c r="Y66" s="178" t="str">
        <f>IFERROR(VLOOKUP($D66,Total_DU!$B$5:$AB$174,27,0),0)</f>
        <v>NA</v>
      </c>
      <c r="Z66" s="178" t="str">
        <f>IFERROR(VLOOKUP($D66,Population!$B$5:$AA$175,23,FALSE),0)</f>
        <v>NA</v>
      </c>
      <c r="AA66" s="178" t="str">
        <f>IFERROR(VLOOKUP($D66,Population!$B$5:$AA$175,24,FALSE),0)</f>
        <v>NA</v>
      </c>
      <c r="AB66" s="178" t="str">
        <f>IFERROR(VLOOKUP($D66,Population!$B$5:$AA$175,25,FALSE),0)</f>
        <v>NA</v>
      </c>
      <c r="AC66" s="178" t="str">
        <f>IFERROR(VLOOKUP($D66,Population!$B$5:$AA$175,26,FALSE),0)</f>
        <v>NA</v>
      </c>
    </row>
    <row r="67" spans="1:29" x14ac:dyDescent="0.2">
      <c r="A67" s="1" t="s">
        <v>440</v>
      </c>
      <c r="B67" s="1" t="s">
        <v>457</v>
      </c>
      <c r="C67" s="1" t="s">
        <v>458</v>
      </c>
      <c r="D67" s="1">
        <v>6879</v>
      </c>
      <c r="E67" s="1">
        <v>2024</v>
      </c>
      <c r="F67" s="175">
        <f>VLOOKUP($D67,'2024Data to Complete Appendix C'!$C$8:$Q$313,2,FALSE)</f>
        <v>1777</v>
      </c>
      <c r="G67" s="175">
        <f>VLOOKUP($D67,'2024Data to Complete Appendix C'!$C$8:$Q$313,3,FALSE)</f>
        <v>1081</v>
      </c>
      <c r="H67" s="175">
        <f>VLOOKUP($D67,'2024Data to Complete Appendix C'!$C$8:$Q$313,4,FALSE)</f>
        <v>0</v>
      </c>
      <c r="I67" s="175">
        <f>VLOOKUP($D67,'2024Data to Complete Appendix C'!$C$8:$Q$313,5,FALSE)</f>
        <v>1236</v>
      </c>
      <c r="J67" s="176">
        <f>VLOOKUP($D67,'2024Data to Complete Appendix C'!$C$8:$Q$313,6,FALSE)</f>
        <v>1.64385</v>
      </c>
      <c r="K67" s="176">
        <f>VLOOKUP($D67,'2024Data to Complete Appendix C'!$C$8:$Q$313,7,FALSE)</f>
        <v>1.95</v>
      </c>
      <c r="L67" s="176">
        <f>VLOOKUP($D67,'2024Data to Complete Appendix C'!$C$8:$Q$313,8,FALSE)</f>
        <v>1.0416700000000001</v>
      </c>
      <c r="M67" s="175">
        <f>VLOOKUP($D67,'2024Data to Complete Appendix C'!$C$8:$Q$313,9,FALSE)</f>
        <v>37.970100000000002</v>
      </c>
      <c r="N67" s="176">
        <f>VLOOKUP($D67,'2024Data to Complete Appendix C'!$C$8:$Q$313,10,FALSE)</f>
        <v>3.3932999999999998E-2</v>
      </c>
      <c r="O67" s="177">
        <f>VLOOKUP($D67,'2024Data to Complete Appendix C'!$C$8:$Q$313,11,FALSE)</f>
        <v>0.56699999999999995</v>
      </c>
      <c r="P67" s="177">
        <f>VLOOKUP($D67,'2024Data to Complete Appendix C'!$C$8:$Q$313,12,FALSE)</f>
        <v>0.77268000000000003</v>
      </c>
      <c r="Q67" s="177">
        <f>VLOOKUP($D67,'2024Data to Complete Appendix C'!$C$8:$Q$313,13,FALSE)</f>
        <v>0.71858287799999998</v>
      </c>
      <c r="R67" s="176">
        <f>VLOOKUP($D67,'2024Data to Complete Appendix C'!$C$8:$Q$313,14,FALSE)</f>
        <v>2.2999999999999998</v>
      </c>
      <c r="S67" s="177">
        <f>VLOOKUP($D67,'2024Data to Complete Appendix C'!$C$8:$Q$313,15,FALSE)</f>
        <v>-0.30697400000000002</v>
      </c>
      <c r="T67" s="175">
        <f>IFERROR(VLOOKUP($D67,'2024_Lodging_by_WUP'!$A:$D,4,FALSE),0)</f>
        <v>0</v>
      </c>
      <c r="U67" s="175">
        <f t="shared" si="1"/>
        <v>0</v>
      </c>
      <c r="V67" s="178">
        <f>IFERROR(VLOOKUP($D67,Total_DU!$B$5:$AB$171,24,0),0)</f>
        <v>1391</v>
      </c>
      <c r="W67" s="178">
        <f>IFERROR(VLOOKUP($D67,Total_DU!$B$5:$AB$174,25,0),0)</f>
        <v>1223</v>
      </c>
      <c r="X67" s="178">
        <f>IFERROR(VLOOKUP($D67,Total_DU!$B$5:$AB$174,26,0),0)</f>
        <v>1379</v>
      </c>
      <c r="Y67" s="178">
        <f>IFERROR(VLOOKUP($D67,Total_DU!$B$5:$AB$174,27,0),0)</f>
        <v>1391</v>
      </c>
      <c r="Z67" s="178">
        <f>IFERROR(VLOOKUP($D67,Population!$B$5:$AA$175,23,FALSE),0)</f>
        <v>2415.9107106729807</v>
      </c>
      <c r="AA67" s="178">
        <f>IFERROR(VLOOKUP($D67,Population!$B$5:$AA$175,24,FALSE),0)</f>
        <v>2124</v>
      </c>
      <c r="AB67" s="178">
        <f>IFERROR(VLOOKUP($D67,Population!$B$5:$AA$175,25,FALSE),0)</f>
        <v>2395</v>
      </c>
      <c r="AC67" s="178">
        <f>IFERROR(VLOOKUP($D67,Population!$B$5:$AA$175,26,FALSE),0)</f>
        <v>2280.1202271327415</v>
      </c>
    </row>
    <row r="68" spans="1:29" x14ac:dyDescent="0.2">
      <c r="A68" s="1" t="s">
        <v>440</v>
      </c>
      <c r="B68" s="1" t="s">
        <v>459</v>
      </c>
      <c r="C68" s="1" t="s">
        <v>460</v>
      </c>
      <c r="D68" s="1">
        <v>7002</v>
      </c>
      <c r="E68" s="1">
        <v>2024</v>
      </c>
      <c r="F68" s="175">
        <f>VLOOKUP($D68,'2024Data to Complete Appendix C'!$C$8:$Q$313,2,FALSE)</f>
        <v>1086</v>
      </c>
      <c r="G68" s="175">
        <f>VLOOKUP($D68,'2024Data to Complete Appendix C'!$C$8:$Q$313,3,FALSE)</f>
        <v>603</v>
      </c>
      <c r="H68" s="175">
        <f>VLOOKUP($D68,'2024Data to Complete Appendix C'!$C$8:$Q$313,4,FALSE)</f>
        <v>0</v>
      </c>
      <c r="I68" s="175">
        <f>VLOOKUP($D68,'2024Data to Complete Appendix C'!$C$8:$Q$313,5,FALSE)</f>
        <v>618</v>
      </c>
      <c r="J68" s="176">
        <f>VLOOKUP($D68,'2024Data to Complete Appendix C'!$C$8:$Q$313,6,FALSE)</f>
        <v>1.8009900000000001</v>
      </c>
      <c r="K68" s="176">
        <f>VLOOKUP($D68,'2024Data to Complete Appendix C'!$C$8:$Q$313,7,FALSE)</f>
        <v>1.95</v>
      </c>
      <c r="L68" s="176">
        <f>VLOOKUP($D68,'2024Data to Complete Appendix C'!$C$8:$Q$313,8,FALSE)</f>
        <v>1.0317700000000001</v>
      </c>
      <c r="M68" s="175">
        <f>VLOOKUP($D68,'2024Data to Complete Appendix C'!$C$8:$Q$313,9,FALSE)</f>
        <v>17.693100000000001</v>
      </c>
      <c r="N68" s="176">
        <f>VLOOKUP($D68,'2024Data to Complete Appendix C'!$C$8:$Q$313,10,FALSE)</f>
        <v>2.85054E-2</v>
      </c>
      <c r="O68" s="177">
        <f>VLOOKUP($D68,'2024Data to Complete Appendix C'!$C$8:$Q$313,11,FALSE)</f>
        <v>0.56699999999999995</v>
      </c>
      <c r="P68" s="177">
        <f>VLOOKUP($D68,'2024Data to Complete Appendix C'!$C$8:$Q$313,12,FALSE)</f>
        <v>0.77268000000000003</v>
      </c>
      <c r="Q68" s="177">
        <f>VLOOKUP($D68,'2024Data to Complete Appendix C'!$C$8:$Q$313,13,FALSE)</f>
        <v>0.71858287799999998</v>
      </c>
      <c r="R68" s="176">
        <f>VLOOKUP($D68,'2024Data to Complete Appendix C'!$C$8:$Q$313,14,FALSE)</f>
        <v>2.2999999999999998</v>
      </c>
      <c r="S68" s="177">
        <f>VLOOKUP($D68,'2024Data to Complete Appendix C'!$C$8:$Q$313,15,FALSE)</f>
        <v>-0.485595</v>
      </c>
      <c r="T68" s="175">
        <f>IFERROR(VLOOKUP($D68,'2024_Lodging_by_WUP'!$A:$D,4,FALSE),0)</f>
        <v>0</v>
      </c>
      <c r="U68" s="175">
        <f t="shared" si="1"/>
        <v>0</v>
      </c>
      <c r="V68" s="178" t="str">
        <f>IFERROR(VLOOKUP($D68,Total_DU!$B$5:$AB$171,24,0),0)</f>
        <v>NA</v>
      </c>
      <c r="W68" s="178" t="str">
        <f>IFERROR(VLOOKUP($D68,Total_DU!$B$5:$AB$174,25,0),0)</f>
        <v>NA</v>
      </c>
      <c r="X68" s="178" t="str">
        <f>IFERROR(VLOOKUP($D68,Total_DU!$B$5:$AB$174,26,0),0)</f>
        <v>NA</v>
      </c>
      <c r="Y68" s="178" t="str">
        <f>IFERROR(VLOOKUP($D68,Total_DU!$B$5:$AB$174,27,0),0)</f>
        <v>NA</v>
      </c>
      <c r="Z68" s="178" t="str">
        <f>IFERROR(VLOOKUP($D68,Population!$B$5:$AA$175,23,FALSE),0)</f>
        <v>NA</v>
      </c>
      <c r="AA68" s="178" t="str">
        <f>IFERROR(VLOOKUP($D68,Population!$B$5:$AA$175,24,FALSE),0)</f>
        <v>NA</v>
      </c>
      <c r="AB68" s="178" t="str">
        <f>IFERROR(VLOOKUP($D68,Population!$B$5:$AA$175,25,FALSE),0)</f>
        <v>NA</v>
      </c>
      <c r="AC68" s="178" t="str">
        <f>IFERROR(VLOOKUP($D68,Population!$B$5:$AA$175,26,FALSE),0)</f>
        <v>NA</v>
      </c>
    </row>
    <row r="69" spans="1:29" x14ac:dyDescent="0.2">
      <c r="A69" s="1" t="s">
        <v>440</v>
      </c>
      <c r="B69" s="1" t="s">
        <v>461</v>
      </c>
      <c r="C69" s="1" t="s">
        <v>462</v>
      </c>
      <c r="D69" s="1">
        <v>7637</v>
      </c>
      <c r="E69" s="1">
        <v>2024</v>
      </c>
      <c r="F69" s="175">
        <f>VLOOKUP($D69,'2024Data to Complete Appendix C'!$C$8:$Q$313,2,FALSE)</f>
        <v>1241</v>
      </c>
      <c r="G69" s="175">
        <f>VLOOKUP($D69,'2024Data to Complete Appendix C'!$C$8:$Q$313,3,FALSE)</f>
        <v>641</v>
      </c>
      <c r="H69" s="175">
        <f>VLOOKUP($D69,'2024Data to Complete Appendix C'!$C$8:$Q$313,4,FALSE)</f>
        <v>0</v>
      </c>
      <c r="I69" s="175">
        <f>VLOOKUP($D69,'2024Data to Complete Appendix C'!$C$8:$Q$313,5,FALSE)</f>
        <v>797</v>
      </c>
      <c r="J69" s="176">
        <f>VLOOKUP($D69,'2024Data to Complete Appendix C'!$C$8:$Q$313,6,FALSE)</f>
        <v>1.93604</v>
      </c>
      <c r="K69" s="176">
        <f>VLOOKUP($D69,'2024Data to Complete Appendix C'!$C$8:$Q$313,7,FALSE)</f>
        <v>1.95</v>
      </c>
      <c r="L69" s="176">
        <f>VLOOKUP($D69,'2024Data to Complete Appendix C'!$C$8:$Q$313,8,FALSE)</f>
        <v>1.07443</v>
      </c>
      <c r="M69" s="175">
        <f>VLOOKUP($D69,'2024Data to Complete Appendix C'!$C$8:$Q$313,9,FALSE)</f>
        <v>47.368099999999998</v>
      </c>
      <c r="N69" s="176">
        <f>VLOOKUP($D69,'2024Data to Complete Appendix C'!$C$8:$Q$313,10,FALSE)</f>
        <v>6.8812100000000001E-2</v>
      </c>
      <c r="O69" s="177">
        <f>VLOOKUP($D69,'2024Data to Complete Appendix C'!$C$8:$Q$313,11,FALSE)</f>
        <v>0.56699999999999995</v>
      </c>
      <c r="P69" s="177">
        <f>VLOOKUP($D69,'2024Data to Complete Appendix C'!$C$8:$Q$313,12,FALSE)</f>
        <v>0.77268000000000003</v>
      </c>
      <c r="Q69" s="177">
        <f>VLOOKUP($D69,'2024Data to Complete Appendix C'!$C$8:$Q$313,13,FALSE)</f>
        <v>0.71858287799999998</v>
      </c>
      <c r="R69" s="176">
        <f>VLOOKUP($D69,'2024Data to Complete Appendix C'!$C$8:$Q$313,14,FALSE)</f>
        <v>2.2999999999999998</v>
      </c>
      <c r="S69" s="177">
        <f>VLOOKUP($D69,'2024Data to Complete Appendix C'!$C$8:$Q$313,15,FALSE)</f>
        <v>-0.36208000000000001</v>
      </c>
      <c r="T69" s="175">
        <f>IFERROR(VLOOKUP($D69,'2024_Lodging_by_WUP'!$A:$D,4,FALSE),0)</f>
        <v>0</v>
      </c>
      <c r="U69" s="175">
        <f t="shared" si="1"/>
        <v>0</v>
      </c>
      <c r="V69" s="178">
        <f>IFERROR(VLOOKUP($D69,Total_DU!$B$5:$AB$171,24,0),0)</f>
        <v>626</v>
      </c>
      <c r="W69" s="178">
        <f>IFERROR(VLOOKUP($D69,Total_DU!$B$5:$AB$174,25,0),0)</f>
        <v>654</v>
      </c>
      <c r="X69" s="178">
        <f>IFERROR(VLOOKUP($D69,Total_DU!$B$5:$AB$174,26,0),0)</f>
        <v>689</v>
      </c>
      <c r="Y69" s="178">
        <f>IFERROR(VLOOKUP($D69,Total_DU!$B$5:$AB$174,27,0),0)</f>
        <v>723</v>
      </c>
      <c r="Z69" s="178">
        <f>IFERROR(VLOOKUP($D69,Population!$B$5:$AA$175,23,FALSE),0)</f>
        <v>1258.3706642791094</v>
      </c>
      <c r="AA69" s="178">
        <f>IFERROR(VLOOKUP($D69,Population!$B$5:$AA$175,24,FALSE),0)</f>
        <v>1315</v>
      </c>
      <c r="AB69" s="178">
        <f>IFERROR(VLOOKUP($D69,Population!$B$5:$AA$175,25,FALSE),0)</f>
        <v>1385</v>
      </c>
      <c r="AC69" s="178">
        <f>IFERROR(VLOOKUP($D69,Population!$B$5:$AA$175,26,FALSE),0)</f>
        <v>1378.3958479362752</v>
      </c>
    </row>
    <row r="70" spans="1:29" x14ac:dyDescent="0.2">
      <c r="A70" s="1" t="s">
        <v>440</v>
      </c>
      <c r="B70" s="1" t="s">
        <v>463</v>
      </c>
      <c r="C70" s="1" t="s">
        <v>464</v>
      </c>
      <c r="D70" s="1">
        <v>7790</v>
      </c>
      <c r="E70" s="1">
        <v>2024</v>
      </c>
      <c r="F70" s="175">
        <f>VLOOKUP($D70,'2024Data to Complete Appendix C'!$C$8:$Q$313,2,FALSE)</f>
        <v>2144</v>
      </c>
      <c r="G70" s="175">
        <f>VLOOKUP($D70,'2024Data to Complete Appendix C'!$C$8:$Q$313,3,FALSE)</f>
        <v>719</v>
      </c>
      <c r="H70" s="175">
        <f>VLOOKUP($D70,'2024Data to Complete Appendix C'!$C$8:$Q$313,4,FALSE)</f>
        <v>7</v>
      </c>
      <c r="I70" s="175">
        <f>VLOOKUP($D70,'2024Data to Complete Appendix C'!$C$8:$Q$313,5,FALSE)</f>
        <v>831</v>
      </c>
      <c r="J70" s="176">
        <f>VLOOKUP($D70,'2024Data to Complete Appendix C'!$C$8:$Q$313,6,FALSE)</f>
        <v>2.9819200000000001</v>
      </c>
      <c r="K70" s="176">
        <f>VLOOKUP($D70,'2024Data to Complete Appendix C'!$C$8:$Q$313,7,FALSE)</f>
        <v>1.95</v>
      </c>
      <c r="L70" s="176">
        <f>VLOOKUP($D70,'2024Data to Complete Appendix C'!$C$8:$Q$313,8,FALSE)</f>
        <v>1.01488</v>
      </c>
      <c r="M70" s="175">
        <f>VLOOKUP($D70,'2024Data to Complete Appendix C'!$C$8:$Q$313,9,FALSE)</f>
        <v>16.360700000000001</v>
      </c>
      <c r="N70" s="176">
        <f>VLOOKUP($D70,'2024Data to Complete Appendix C'!$C$8:$Q$313,10,FALSE)</f>
        <v>2.2248500000000001E-2</v>
      </c>
      <c r="O70" s="177">
        <f>VLOOKUP($D70,'2024Data to Complete Appendix C'!$C$8:$Q$313,11,FALSE)</f>
        <v>0.56699999999999995</v>
      </c>
      <c r="P70" s="177">
        <f>VLOOKUP($D70,'2024Data to Complete Appendix C'!$C$8:$Q$313,12,FALSE)</f>
        <v>0.77268000000000003</v>
      </c>
      <c r="Q70" s="177">
        <f>VLOOKUP($D70,'2024Data to Complete Appendix C'!$C$8:$Q$313,13,FALSE)</f>
        <v>0.71858287799999998</v>
      </c>
      <c r="R70" s="176">
        <f>VLOOKUP($D70,'2024Data to Complete Appendix C'!$C$8:$Q$313,14,FALSE)</f>
        <v>2.2999999999999998</v>
      </c>
      <c r="S70" s="177">
        <f>VLOOKUP($D70,'2024Data to Complete Appendix C'!$C$8:$Q$313,15,FALSE)</f>
        <v>4.7104200000000001</v>
      </c>
      <c r="T70" s="175">
        <f>IFERROR(VLOOKUP($D70,'2024_Lodging_by_WUP'!$A:$D,4,FALSE),0)</f>
        <v>0</v>
      </c>
      <c r="U70" s="175">
        <f t="shared" si="1"/>
        <v>0</v>
      </c>
      <c r="V70" s="178">
        <f>IFERROR(VLOOKUP($D70,Total_DU!$B$5:$AB$171,24,0),0)</f>
        <v>573</v>
      </c>
      <c r="W70" s="178">
        <f>IFERROR(VLOOKUP($D70,Total_DU!$B$5:$AB$174,25,0),0)</f>
        <v>583</v>
      </c>
      <c r="X70" s="178">
        <f>IFERROR(VLOOKUP($D70,Total_DU!$B$5:$AB$174,26,0),0)</f>
        <v>597</v>
      </c>
      <c r="Y70" s="178">
        <f>IFERROR(VLOOKUP($D70,Total_DU!$B$5:$AB$174,27,0),0)</f>
        <v>600</v>
      </c>
      <c r="Z70" s="178">
        <f>IFERROR(VLOOKUP($D70,Population!$B$5:$AA$175,23,FALSE),0)</f>
        <v>2186.6609071443963</v>
      </c>
      <c r="AA70" s="178">
        <f>IFERROR(VLOOKUP($D70,Population!$B$5:$AA$175,24,FALSE),0)</f>
        <v>2225</v>
      </c>
      <c r="AB70" s="178">
        <f>IFERROR(VLOOKUP($D70,Population!$B$5:$AA$175,25,FALSE),0)</f>
        <v>2278</v>
      </c>
      <c r="AC70" s="178">
        <f>IFERROR(VLOOKUP($D70,Population!$B$5:$AA$175,26,FALSE),0)</f>
        <v>2447.4302604580153</v>
      </c>
    </row>
    <row r="71" spans="1:29" x14ac:dyDescent="0.2">
      <c r="A71" s="1" t="s">
        <v>440</v>
      </c>
      <c r="B71" s="1" t="s">
        <v>465</v>
      </c>
      <c r="C71" s="1" t="s">
        <v>466</v>
      </c>
      <c r="D71" s="1">
        <v>8986</v>
      </c>
      <c r="E71" s="1">
        <v>2024</v>
      </c>
      <c r="F71" s="175">
        <f>VLOOKUP($D71,'2024Data to Complete Appendix C'!$C$8:$Q$313,2,FALSE)</f>
        <v>118</v>
      </c>
      <c r="G71" s="175">
        <f>VLOOKUP($D71,'2024Data to Complete Appendix C'!$C$8:$Q$313,3,FALSE)</f>
        <v>39</v>
      </c>
      <c r="H71" s="175">
        <f>VLOOKUP($D71,'2024Data to Complete Appendix C'!$C$8:$Q$313,4,FALSE)</f>
        <v>0</v>
      </c>
      <c r="I71" s="175">
        <f>VLOOKUP($D71,'2024Data to Complete Appendix C'!$C$8:$Q$313,5,FALSE)</f>
        <v>43</v>
      </c>
      <c r="J71" s="176">
        <f>VLOOKUP($D71,'2024Data to Complete Appendix C'!$C$8:$Q$313,6,FALSE)</f>
        <v>3.0256400000000001</v>
      </c>
      <c r="K71" s="176">
        <f>VLOOKUP($D71,'2024Data to Complete Appendix C'!$C$8:$Q$313,7,FALSE)</f>
        <v>1.95</v>
      </c>
      <c r="L71" s="176">
        <f>VLOOKUP($D71,'2024Data to Complete Appendix C'!$C$8:$Q$313,8,FALSE)</f>
        <v>1.06701</v>
      </c>
      <c r="M71" s="175">
        <f>VLOOKUP($D71,'2024Data to Complete Appendix C'!$C$8:$Q$313,9,FALSE)</f>
        <v>4.0551300000000001</v>
      </c>
      <c r="N71" s="176">
        <f>VLOOKUP($D71,'2024Data to Complete Appendix C'!$C$8:$Q$313,10,FALSE)</f>
        <v>9.4184500000000004E-2</v>
      </c>
      <c r="O71" s="177">
        <f>VLOOKUP($D71,'2024Data to Complete Appendix C'!$C$8:$Q$313,11,FALSE)</f>
        <v>0.56699999999999995</v>
      </c>
      <c r="P71" s="177">
        <f>VLOOKUP($D71,'2024Data to Complete Appendix C'!$C$8:$Q$313,12,FALSE)</f>
        <v>0.77268000000000003</v>
      </c>
      <c r="Q71" s="177">
        <f>VLOOKUP($D71,'2024Data to Complete Appendix C'!$C$8:$Q$313,13,FALSE)</f>
        <v>0.71858287799999998</v>
      </c>
      <c r="R71" s="176">
        <f>VLOOKUP($D71,'2024Data to Complete Appendix C'!$C$8:$Q$313,14,FALSE)</f>
        <v>2.2999999999999998</v>
      </c>
      <c r="S71" s="177">
        <f>VLOOKUP($D71,'2024Data to Complete Appendix C'!$C$8:$Q$313,15,FALSE)</f>
        <v>-2.26372E-2</v>
      </c>
      <c r="T71" s="175">
        <f>IFERROR(VLOOKUP($D71,'2024_Lodging_by_WUP'!$A:$D,4,FALSE),0)</f>
        <v>0</v>
      </c>
      <c r="U71" s="175">
        <f t="shared" si="1"/>
        <v>0</v>
      </c>
      <c r="V71" s="178">
        <f>IFERROR(VLOOKUP($D71,Total_DU!$B$5:$AB$171,24,0),0)</f>
        <v>0</v>
      </c>
      <c r="W71" s="178">
        <f>IFERROR(VLOOKUP($D71,Total_DU!$B$5:$AB$174,25,0),0)</f>
        <v>0</v>
      </c>
      <c r="X71" s="178">
        <f>IFERROR(VLOOKUP($D71,Total_DU!$B$5:$AB$174,26,0),0)</f>
        <v>0</v>
      </c>
      <c r="Y71" s="178">
        <f>IFERROR(VLOOKUP($D71,Total_DU!$B$5:$AB$174,27,0),0)</f>
        <v>0</v>
      </c>
      <c r="Z71" s="178">
        <f>IFERROR(VLOOKUP($D71,Population!$B$5:$AA$175,23,FALSE),0)</f>
        <v>0</v>
      </c>
      <c r="AA71" s="178">
        <f>IFERROR(VLOOKUP($D71,Population!$B$5:$AA$175,24,FALSE),0)</f>
        <v>0</v>
      </c>
      <c r="AB71" s="178">
        <f>IFERROR(VLOOKUP($D71,Population!$B$5:$AA$175,25,FALSE),0)</f>
        <v>0</v>
      </c>
      <c r="AC71" s="178">
        <f>IFERROR(VLOOKUP($D71,Population!$B$5:$AA$175,26,FALSE),0)</f>
        <v>0</v>
      </c>
    </row>
    <row r="72" spans="1:29" x14ac:dyDescent="0.2">
      <c r="A72" s="1" t="s">
        <v>440</v>
      </c>
      <c r="B72" s="1" t="s">
        <v>467</v>
      </c>
      <c r="C72" s="1" t="s">
        <v>468</v>
      </c>
      <c r="D72" s="1">
        <v>10443</v>
      </c>
      <c r="E72" s="1">
        <v>2024</v>
      </c>
      <c r="F72" s="175">
        <f>VLOOKUP($D72,'2024Data to Complete Appendix C'!$C$8:$Q$313,2,FALSE)</f>
        <v>5255</v>
      </c>
      <c r="G72" s="175">
        <f>VLOOKUP($D72,'2024Data to Complete Appendix C'!$C$8:$Q$313,3,FALSE)</f>
        <v>1976</v>
      </c>
      <c r="H72" s="175">
        <f>VLOOKUP($D72,'2024Data to Complete Appendix C'!$C$8:$Q$313,4,FALSE)</f>
        <v>0</v>
      </c>
      <c r="I72" s="175">
        <f>VLOOKUP($D72,'2024Data to Complete Appendix C'!$C$8:$Q$313,5,FALSE)</f>
        <v>2023</v>
      </c>
      <c r="J72" s="176">
        <f>VLOOKUP($D72,'2024Data to Complete Appendix C'!$C$8:$Q$313,6,FALSE)</f>
        <v>2.6594099999999998</v>
      </c>
      <c r="K72" s="176">
        <f>VLOOKUP($D72,'2024Data to Complete Appendix C'!$C$8:$Q$313,7,FALSE)</f>
        <v>1.95</v>
      </c>
      <c r="L72" s="176">
        <f>VLOOKUP($D72,'2024Data to Complete Appendix C'!$C$8:$Q$313,8,FALSE)</f>
        <v>1.00254</v>
      </c>
      <c r="M72" s="175">
        <f>VLOOKUP($D72,'2024Data to Complete Appendix C'!$C$8:$Q$313,9,FALSE)</f>
        <v>6.8510600000000004</v>
      </c>
      <c r="N72" s="176">
        <f>VLOOKUP($D72,'2024Data to Complete Appendix C'!$C$8:$Q$313,10,FALSE)</f>
        <v>3.4551999999999999E-3</v>
      </c>
      <c r="O72" s="177">
        <f>VLOOKUP($D72,'2024Data to Complete Appendix C'!$C$8:$Q$313,11,FALSE)</f>
        <v>0.56699999999999995</v>
      </c>
      <c r="P72" s="177">
        <f>VLOOKUP($D72,'2024Data to Complete Appendix C'!$C$8:$Q$313,12,FALSE)</f>
        <v>0.77268000000000003</v>
      </c>
      <c r="Q72" s="177">
        <f>VLOOKUP($D72,'2024Data to Complete Appendix C'!$C$8:$Q$313,13,FALSE)</f>
        <v>0.71858287799999998</v>
      </c>
      <c r="R72" s="176">
        <f>VLOOKUP($D72,'2024Data to Complete Appendix C'!$C$8:$Q$313,14,FALSE)</f>
        <v>2.2999999999999998</v>
      </c>
      <c r="S72" s="177">
        <f>VLOOKUP($D72,'2024Data to Complete Appendix C'!$C$8:$Q$313,15,FALSE)</f>
        <v>-0.83674499999999996</v>
      </c>
      <c r="T72" s="175">
        <f>IFERROR(VLOOKUP($D72,'2024_Lodging_by_WUP'!$A:$D,4,FALSE),0)</f>
        <v>0</v>
      </c>
      <c r="U72" s="175">
        <f t="shared" si="1"/>
        <v>0</v>
      </c>
      <c r="V72" s="178">
        <f>IFERROR(VLOOKUP($D72,Total_DU!$B$5:$AB$171,24,0),0)</f>
        <v>1022</v>
      </c>
      <c r="W72" s="178">
        <f>IFERROR(VLOOKUP($D72,Total_DU!$B$5:$AB$174,25,0),0)</f>
        <v>1021</v>
      </c>
      <c r="X72" s="178">
        <f>IFERROR(VLOOKUP($D72,Total_DU!$B$5:$AB$174,26,0),0)</f>
        <v>1012</v>
      </c>
      <c r="Y72" s="178">
        <f>IFERROR(VLOOKUP($D72,Total_DU!$B$5:$AB$174,27,0),0)</f>
        <v>1021</v>
      </c>
      <c r="Z72" s="178">
        <f>IFERROR(VLOOKUP($D72,Population!$B$5:$AA$175,23,FALSE),0)</f>
        <v>2776.2985653687424</v>
      </c>
      <c r="AA72" s="178">
        <f>IFERROR(VLOOKUP($D72,Population!$B$5:$AA$175,24,FALSE),0)</f>
        <v>2774</v>
      </c>
      <c r="AB72" s="178">
        <f>IFERROR(VLOOKUP($D72,Population!$B$5:$AA$175,25,FALSE),0)</f>
        <v>2755</v>
      </c>
      <c r="AC72" s="178">
        <f>IFERROR(VLOOKUP($D72,Population!$B$5:$AA$175,26,FALSE),0)</f>
        <v>2711.1942499680154</v>
      </c>
    </row>
    <row r="73" spans="1:29" x14ac:dyDescent="0.2">
      <c r="A73" s="1" t="s">
        <v>440</v>
      </c>
      <c r="B73" s="1" t="s">
        <v>469</v>
      </c>
      <c r="C73" s="1" t="s">
        <v>470</v>
      </c>
      <c r="D73" s="1">
        <v>12994</v>
      </c>
      <c r="E73" s="1">
        <v>2024</v>
      </c>
      <c r="F73" s="175">
        <f>VLOOKUP($D73,'2024Data to Complete Appendix C'!$C$8:$Q$313,2,FALSE)</f>
        <v>5560</v>
      </c>
      <c r="G73" s="175">
        <f>VLOOKUP($D73,'2024Data to Complete Appendix C'!$C$8:$Q$313,3,FALSE)</f>
        <v>2268</v>
      </c>
      <c r="H73" s="175">
        <f>VLOOKUP($D73,'2024Data to Complete Appendix C'!$C$8:$Q$313,4,FALSE)</f>
        <v>0</v>
      </c>
      <c r="I73" s="175">
        <f>VLOOKUP($D73,'2024Data to Complete Appendix C'!$C$8:$Q$313,5,FALSE)</f>
        <v>2357</v>
      </c>
      <c r="J73" s="176">
        <f>VLOOKUP($D73,'2024Data to Complete Appendix C'!$C$8:$Q$313,6,FALSE)</f>
        <v>2.4514999999999998</v>
      </c>
      <c r="K73" s="176">
        <f>VLOOKUP($D73,'2024Data to Complete Appendix C'!$C$8:$Q$313,7,FALSE)</f>
        <v>1.95</v>
      </c>
      <c r="L73" s="176">
        <f>VLOOKUP($D73,'2024Data to Complete Appendix C'!$C$8:$Q$313,8,FALSE)</f>
        <v>1.00258</v>
      </c>
      <c r="M73" s="175">
        <f>VLOOKUP($D73,'2024Data to Complete Appendix C'!$C$8:$Q$313,9,FALSE)</f>
        <v>7.3656199999999998</v>
      </c>
      <c r="N73" s="176">
        <f>VLOOKUP($D73,'2024Data to Complete Appendix C'!$C$8:$Q$313,10,FALSE)</f>
        <v>3.2371000000000001E-3</v>
      </c>
      <c r="O73" s="177">
        <f>VLOOKUP($D73,'2024Data to Complete Appendix C'!$C$8:$Q$313,11,FALSE)</f>
        <v>0.56699999999999995</v>
      </c>
      <c r="P73" s="177">
        <f>VLOOKUP($D73,'2024Data to Complete Appendix C'!$C$8:$Q$313,12,FALSE)</f>
        <v>0.77268000000000003</v>
      </c>
      <c r="Q73" s="177">
        <f>VLOOKUP($D73,'2024Data to Complete Appendix C'!$C$8:$Q$313,13,FALSE)</f>
        <v>0.71858287799999998</v>
      </c>
      <c r="R73" s="176">
        <f>VLOOKUP($D73,'2024Data to Complete Appendix C'!$C$8:$Q$313,14,FALSE)</f>
        <v>2.2999999999999998</v>
      </c>
      <c r="S73" s="177">
        <f>VLOOKUP($D73,'2024Data to Complete Appendix C'!$C$8:$Q$313,15,FALSE)</f>
        <v>-0.53489799999999998</v>
      </c>
      <c r="T73" s="175">
        <f>IFERROR(VLOOKUP($D73,'2024_Lodging_by_WUP'!$A:$D,4,FALSE),0)</f>
        <v>0</v>
      </c>
      <c r="U73" s="175">
        <f t="shared" si="1"/>
        <v>0</v>
      </c>
      <c r="V73" s="178" t="str">
        <f>IFERROR(VLOOKUP($D73,Total_DU!$B$5:$AB$171,24,0),0)</f>
        <v>NA</v>
      </c>
      <c r="W73" s="178" t="str">
        <f>IFERROR(VLOOKUP($D73,Total_DU!$B$5:$AB$174,25,0),0)</f>
        <v>NA</v>
      </c>
      <c r="X73" s="178" t="str">
        <f>IFERROR(VLOOKUP($D73,Total_DU!$B$5:$AB$174,26,0),0)</f>
        <v>NA</v>
      </c>
      <c r="Y73" s="178" t="str">
        <f>IFERROR(VLOOKUP($D73,Total_DU!$B$5:$AB$174,27,0),0)</f>
        <v>NA</v>
      </c>
      <c r="Z73" s="178" t="str">
        <f>IFERROR(VLOOKUP($D73,Population!$B$5:$AA$175,23,FALSE),0)</f>
        <v>NA</v>
      </c>
      <c r="AA73" s="178" t="str">
        <f>IFERROR(VLOOKUP($D73,Population!$B$5:$AA$175,24,FALSE),0)</f>
        <v>NA</v>
      </c>
      <c r="AB73" s="178" t="str">
        <f>IFERROR(VLOOKUP($D73,Population!$B$5:$AA$175,25,FALSE),0)</f>
        <v>NA</v>
      </c>
      <c r="AC73" s="178" t="str">
        <f>IFERROR(VLOOKUP($D73,Population!$B$5:$AA$175,26,FALSE),0)</f>
        <v>NA</v>
      </c>
    </row>
    <row r="74" spans="1:29" x14ac:dyDescent="0.2">
      <c r="A74" s="1" t="s">
        <v>440</v>
      </c>
      <c r="B74" s="1" t="s">
        <v>471</v>
      </c>
      <c r="C74" s="1" t="s">
        <v>472</v>
      </c>
      <c r="D74" s="1">
        <v>20141</v>
      </c>
      <c r="E74" s="1">
        <v>2024</v>
      </c>
      <c r="F74" s="175">
        <f>VLOOKUP($D74,'2024Data to Complete Appendix C'!$C$8:$Q$313,2,FALSE)</f>
        <v>699297</v>
      </c>
      <c r="G74" s="175">
        <f>VLOOKUP($D74,'2024Data to Complete Appendix C'!$C$8:$Q$313,3,FALSE)</f>
        <v>264215</v>
      </c>
      <c r="H74" s="175">
        <f>VLOOKUP($D74,'2024Data to Complete Appendix C'!$C$8:$Q$313,4,FALSE)</f>
        <v>4933</v>
      </c>
      <c r="I74" s="175">
        <f>VLOOKUP($D74,'2024Data to Complete Appendix C'!$C$8:$Q$313,5,FALSE)</f>
        <v>281341</v>
      </c>
      <c r="J74" s="176">
        <f>VLOOKUP($D74,'2024Data to Complete Appendix C'!$C$8:$Q$313,6,FALSE)</f>
        <v>2.6467000000000001</v>
      </c>
      <c r="K74" s="176">
        <f>VLOOKUP($D74,'2024Data to Complete Appendix C'!$C$8:$Q$313,7,FALSE)</f>
        <v>1.95</v>
      </c>
      <c r="L74" s="176">
        <f>VLOOKUP($D74,'2024Data to Complete Appendix C'!$C$8:$Q$313,8,FALSE)</f>
        <v>1.02152</v>
      </c>
      <c r="M74" s="175">
        <f>VLOOKUP($D74,'2024Data to Complete Appendix C'!$C$8:$Q$313,9,FALSE)</f>
        <v>7717.98</v>
      </c>
      <c r="N74" s="176">
        <f>VLOOKUP($D74,'2024Data to Complete Appendix C'!$C$8:$Q$313,10,FALSE)</f>
        <v>2.8381900000000002E-2</v>
      </c>
      <c r="O74" s="177">
        <f>VLOOKUP($D74,'2024Data to Complete Appendix C'!$C$8:$Q$313,11,FALSE)</f>
        <v>0.56699999999999995</v>
      </c>
      <c r="P74" s="177">
        <f>VLOOKUP($D74,'2024Data to Complete Appendix C'!$C$8:$Q$313,12,FALSE)</f>
        <v>0.77268000000000003</v>
      </c>
      <c r="Q74" s="177">
        <f>VLOOKUP($D74,'2024Data to Complete Appendix C'!$C$8:$Q$313,13,FALSE)</f>
        <v>0.71858287799999998</v>
      </c>
      <c r="R74" s="176">
        <f>VLOOKUP($D74,'2024Data to Complete Appendix C'!$C$8:$Q$313,14,FALSE)</f>
        <v>2.2999999999999998</v>
      </c>
      <c r="S74" s="177">
        <f>VLOOKUP($D74,'2024Data to Complete Appendix C'!$C$8:$Q$313,15,FALSE)</f>
        <v>-0.48954599999999998</v>
      </c>
      <c r="T74" s="175">
        <f>IFERROR(VLOOKUP($D74,'2024_Lodging_by_WUP'!$A:$D,4,FALSE),0)</f>
        <v>2733</v>
      </c>
      <c r="U74" s="175">
        <f t="shared" si="1"/>
        <v>4516.9401128201998</v>
      </c>
      <c r="V74" s="178">
        <f>IFERROR(VLOOKUP($D74,Total_DU!$B$5:$AB$171,24,0),0)</f>
        <v>257278</v>
      </c>
      <c r="W74" s="178">
        <f>IFERROR(VLOOKUP($D74,Total_DU!$B$5:$AB$174,25,0),0)</f>
        <v>263873</v>
      </c>
      <c r="X74" s="178">
        <f>IFERROR(VLOOKUP($D74,Total_DU!$B$5:$AB$174,26,0),0)</f>
        <v>269679</v>
      </c>
      <c r="Y74" s="178">
        <f>IFERROR(VLOOKUP($D74,Total_DU!$B$5:$AB$174,27,0),0)</f>
        <v>273701</v>
      </c>
      <c r="Z74" s="178">
        <f>IFERROR(VLOOKUP($D74,Population!$B$5:$AA$175,23,FALSE),0)</f>
        <v>670578.93387739535</v>
      </c>
      <c r="AA74" s="178">
        <f>IFERROR(VLOOKUP($D74,Population!$B$5:$AA$175,24,FALSE),0)</f>
        <v>686470</v>
      </c>
      <c r="AB74" s="178">
        <f>IFERROR(VLOOKUP($D74,Population!$B$5:$AA$175,25,FALSE),0)</f>
        <v>702655</v>
      </c>
      <c r="AC74" s="178">
        <f>IFERROR(VLOOKUP($D74,Population!$B$5:$AA$175,26,FALSE),0)</f>
        <v>724553</v>
      </c>
    </row>
    <row r="75" spans="1:29" x14ac:dyDescent="0.2">
      <c r="A75" s="1" t="s">
        <v>473</v>
      </c>
      <c r="B75" s="1" t="s">
        <v>474</v>
      </c>
      <c r="C75" s="1" t="s">
        <v>475</v>
      </c>
      <c r="D75" s="1">
        <v>5640</v>
      </c>
      <c r="E75" s="1">
        <v>2024</v>
      </c>
      <c r="F75" s="175">
        <f>VLOOKUP($D75,'2024Data to Complete Appendix C'!$C$8:$Q$313,2,FALSE)</f>
        <v>5180</v>
      </c>
      <c r="G75" s="175">
        <f>VLOOKUP($D75,'2024Data to Complete Appendix C'!$C$8:$Q$313,3,FALSE)</f>
        <v>2116</v>
      </c>
      <c r="H75" s="175">
        <f>VLOOKUP($D75,'2024Data to Complete Appendix C'!$C$8:$Q$313,4,FALSE)</f>
        <v>117</v>
      </c>
      <c r="I75" s="175">
        <f>VLOOKUP($D75,'2024Data to Complete Appendix C'!$C$8:$Q$313,5,FALSE)</f>
        <v>2276</v>
      </c>
      <c r="J75" s="176">
        <f>VLOOKUP($D75,'2024Data to Complete Appendix C'!$C$8:$Q$313,6,FALSE)</f>
        <v>2.4480200000000001</v>
      </c>
      <c r="K75" s="176">
        <f>VLOOKUP($D75,'2024Data to Complete Appendix C'!$C$8:$Q$313,7,FALSE)</f>
        <v>1.95</v>
      </c>
      <c r="L75" s="176">
        <f>VLOOKUP($D75,'2024Data to Complete Appendix C'!$C$8:$Q$313,8,FALSE)</f>
        <v>1.01871</v>
      </c>
      <c r="M75" s="175">
        <f>VLOOKUP($D75,'2024Data to Complete Appendix C'!$C$8:$Q$313,9,FALSE)</f>
        <v>49.711599999999997</v>
      </c>
      <c r="N75" s="176">
        <f>VLOOKUP($D75,'2024Data to Complete Appendix C'!$C$8:$Q$313,10,FALSE)</f>
        <v>2.2953899999999999E-2</v>
      </c>
      <c r="O75" s="177">
        <f>VLOOKUP($D75,'2024Data to Complete Appendix C'!$C$8:$Q$313,11,FALSE)</f>
        <v>0.56699999999999995</v>
      </c>
      <c r="P75" s="177">
        <f>VLOOKUP($D75,'2024Data to Complete Appendix C'!$C$8:$Q$313,12,FALSE)</f>
        <v>0.77268000000000003</v>
      </c>
      <c r="Q75" s="177">
        <f>VLOOKUP($D75,'2024Data to Complete Appendix C'!$C$8:$Q$313,13,FALSE)</f>
        <v>0.61676391200000003</v>
      </c>
      <c r="R75" s="176">
        <f>VLOOKUP($D75,'2024Data to Complete Appendix C'!$C$8:$Q$313,14,FALSE)</f>
        <v>2.2999999999999998</v>
      </c>
      <c r="S75" s="177">
        <f>VLOOKUP($D75,'2024Data to Complete Appendix C'!$C$8:$Q$313,15,FALSE)</f>
        <v>-0.31641999999999998</v>
      </c>
      <c r="T75" s="175">
        <f>IFERROR(VLOOKUP($D75,'2024_Lodging_by_WUP'!$A:$D,4,FALSE),0)</f>
        <v>2</v>
      </c>
      <c r="U75" s="175">
        <f t="shared" si="1"/>
        <v>2.8371139951999997</v>
      </c>
      <c r="V75" s="178">
        <f>IFERROR(VLOOKUP($D75,Total_DU!$B$5:$AB$171,24,0),0)</f>
        <v>1271</v>
      </c>
      <c r="W75" s="178">
        <f>IFERROR(VLOOKUP($D75,Total_DU!$B$5:$AB$174,25,0),0)</f>
        <v>1885</v>
      </c>
      <c r="X75" s="178">
        <f>IFERROR(VLOOKUP($D75,Total_DU!$B$5:$AB$174,26,0),0)</f>
        <v>1899</v>
      </c>
      <c r="Y75" s="178">
        <f>IFERROR(VLOOKUP($D75,Total_DU!$B$5:$AB$174,27,0),0)</f>
        <v>1921</v>
      </c>
      <c r="Z75" s="178">
        <f>IFERROR(VLOOKUP($D75,Population!$B$5:$AA$175,23,FALSE),0)</f>
        <v>3319.2773348761443</v>
      </c>
      <c r="AA75" s="178">
        <f>IFERROR(VLOOKUP($D75,Population!$B$5:$AA$175,24,FALSE),0)</f>
        <v>4923</v>
      </c>
      <c r="AB75" s="178">
        <f>IFERROR(VLOOKUP($D75,Population!$B$5:$AA$175,25,FALSE),0)</f>
        <v>4973.0973086044933</v>
      </c>
      <c r="AC75" s="178">
        <f>IFERROR(VLOOKUP($D75,Population!$B$5:$AA$175,26,FALSE),0)</f>
        <v>4759.8818813138705</v>
      </c>
    </row>
    <row r="76" spans="1:29" x14ac:dyDescent="0.2">
      <c r="A76" s="1" t="s">
        <v>473</v>
      </c>
      <c r="B76" s="1" t="s">
        <v>476</v>
      </c>
      <c r="C76" s="1" t="s">
        <v>477</v>
      </c>
      <c r="D76" s="1">
        <v>7755</v>
      </c>
      <c r="E76" s="1">
        <v>2024</v>
      </c>
      <c r="F76" s="175">
        <f>VLOOKUP($D76,'2024Data to Complete Appendix C'!$C$8:$Q$313,2,FALSE)</f>
        <v>865</v>
      </c>
      <c r="G76" s="175">
        <f>VLOOKUP($D76,'2024Data to Complete Appendix C'!$C$8:$Q$313,3,FALSE)</f>
        <v>451</v>
      </c>
      <c r="H76" s="175">
        <f>VLOOKUP($D76,'2024Data to Complete Appendix C'!$C$8:$Q$313,4,FALSE)</f>
        <v>1</v>
      </c>
      <c r="I76" s="175">
        <f>VLOOKUP($D76,'2024Data to Complete Appendix C'!$C$8:$Q$313,5,FALSE)</f>
        <v>689</v>
      </c>
      <c r="J76" s="176">
        <f>VLOOKUP($D76,'2024Data to Complete Appendix C'!$C$8:$Q$313,6,FALSE)</f>
        <v>1.9179600000000001</v>
      </c>
      <c r="K76" s="176">
        <f>VLOOKUP($D76,'2024Data to Complete Appendix C'!$C$8:$Q$313,7,FALSE)</f>
        <v>1.95</v>
      </c>
      <c r="L76" s="176">
        <f>VLOOKUP($D76,'2024Data to Complete Appendix C'!$C$8:$Q$313,8,FALSE)</f>
        <v>1.07629</v>
      </c>
      <c r="M76" s="175">
        <f>VLOOKUP($D76,'2024Data to Complete Appendix C'!$C$8:$Q$313,9,FALSE)</f>
        <v>33.840400000000002</v>
      </c>
      <c r="N76" s="176">
        <f>VLOOKUP($D76,'2024Data to Complete Appendix C'!$C$8:$Q$313,10,FALSE)</f>
        <v>6.9796999999999998E-2</v>
      </c>
      <c r="O76" s="177">
        <f>VLOOKUP($D76,'2024Data to Complete Appendix C'!$C$8:$Q$313,11,FALSE)</f>
        <v>0.56699999999999995</v>
      </c>
      <c r="P76" s="177">
        <f>VLOOKUP($D76,'2024Data to Complete Appendix C'!$C$8:$Q$313,12,FALSE)</f>
        <v>0.77268000000000003</v>
      </c>
      <c r="Q76" s="177">
        <f>VLOOKUP($D76,'2024Data to Complete Appendix C'!$C$8:$Q$313,13,FALSE)</f>
        <v>0.61676391200000003</v>
      </c>
      <c r="R76" s="176">
        <f>VLOOKUP($D76,'2024Data to Complete Appendix C'!$C$8:$Q$313,14,FALSE)</f>
        <v>2.2999999999999998</v>
      </c>
      <c r="S76" s="177">
        <f>VLOOKUP($D76,'2024Data to Complete Appendix C'!$C$8:$Q$313,15,FALSE)</f>
        <v>-0.45571800000000001</v>
      </c>
      <c r="T76" s="175">
        <f>IFERROR(VLOOKUP($D76,'2024_Lodging_by_WUP'!$A:$D,4,FALSE),0)</f>
        <v>6</v>
      </c>
      <c r="U76" s="175">
        <f t="shared" si="1"/>
        <v>8.5113419855999997</v>
      </c>
      <c r="V76" s="178" t="str">
        <f>IFERROR(VLOOKUP($D76,Total_DU!$B$5:$AB$171,24,0),0)</f>
        <v>NA</v>
      </c>
      <c r="W76" s="178" t="str">
        <f>IFERROR(VLOOKUP($D76,Total_DU!$B$5:$AB$174,25,0),0)</f>
        <v>NA</v>
      </c>
      <c r="X76" s="178" t="str">
        <f>IFERROR(VLOOKUP($D76,Total_DU!$B$5:$AB$174,26,0),0)</f>
        <v>NA</v>
      </c>
      <c r="Y76" s="178" t="str">
        <f>IFERROR(VLOOKUP($D76,Total_DU!$B$5:$AB$174,27,0),0)</f>
        <v>NA</v>
      </c>
      <c r="Z76" s="178" t="str">
        <f>IFERROR(VLOOKUP($D76,Population!$B$5:$AA$175,23,FALSE),0)</f>
        <v>NA</v>
      </c>
      <c r="AA76" s="178" t="str">
        <f>IFERROR(VLOOKUP($D76,Population!$B$5:$AA$175,24,FALSE),0)</f>
        <v>NA</v>
      </c>
      <c r="AB76" s="178" t="str">
        <f>IFERROR(VLOOKUP($D76,Population!$B$5:$AA$175,25,FALSE),0)</f>
        <v>NA</v>
      </c>
      <c r="AC76" s="178" t="str">
        <f>IFERROR(VLOOKUP($D76,Population!$B$5:$AA$175,26,FALSE),0)</f>
        <v>NA</v>
      </c>
    </row>
    <row r="77" spans="1:29" x14ac:dyDescent="0.2">
      <c r="A77" s="1" t="s">
        <v>473</v>
      </c>
      <c r="B77" s="1" t="s">
        <v>478</v>
      </c>
      <c r="C77" s="1" t="s">
        <v>479</v>
      </c>
      <c r="D77" s="1">
        <v>7825</v>
      </c>
      <c r="E77" s="1">
        <v>2024</v>
      </c>
      <c r="F77" s="175">
        <f>VLOOKUP($D77,'2024Data to Complete Appendix C'!$C$8:$Q$313,2,FALSE)</f>
        <v>91</v>
      </c>
      <c r="G77" s="175">
        <f>VLOOKUP($D77,'2024Data to Complete Appendix C'!$C$8:$Q$313,3,FALSE)</f>
        <v>39</v>
      </c>
      <c r="H77" s="175">
        <f>VLOOKUP($D77,'2024Data to Complete Appendix C'!$C$8:$Q$313,4,FALSE)</f>
        <v>0</v>
      </c>
      <c r="I77" s="175">
        <f>VLOOKUP($D77,'2024Data to Complete Appendix C'!$C$8:$Q$313,5,FALSE)</f>
        <v>44</v>
      </c>
      <c r="J77" s="176">
        <f>VLOOKUP($D77,'2024Data to Complete Appendix C'!$C$8:$Q$313,6,FALSE)</f>
        <v>2.3333300000000001</v>
      </c>
      <c r="K77" s="176">
        <f>VLOOKUP($D77,'2024Data to Complete Appendix C'!$C$8:$Q$313,7,FALSE)</f>
        <v>1.95</v>
      </c>
      <c r="L77" s="176">
        <f>VLOOKUP($D77,'2024Data to Complete Appendix C'!$C$8:$Q$313,8,FALSE)</f>
        <v>1.01871</v>
      </c>
      <c r="M77" s="175">
        <f>VLOOKUP($D77,'2024Data to Complete Appendix C'!$C$8:$Q$313,9,FALSE)</f>
        <v>0.87331000000000003</v>
      </c>
      <c r="N77" s="176">
        <f>VLOOKUP($D77,'2024Data to Complete Appendix C'!$C$8:$Q$313,10,FALSE)</f>
        <v>2.19022E-2</v>
      </c>
      <c r="O77" s="177">
        <f>VLOOKUP($D77,'2024Data to Complete Appendix C'!$C$8:$Q$313,11,FALSE)</f>
        <v>0.56699999999999995</v>
      </c>
      <c r="P77" s="177">
        <f>VLOOKUP($D77,'2024Data to Complete Appendix C'!$C$8:$Q$313,12,FALSE)</f>
        <v>0.77268000000000003</v>
      </c>
      <c r="Q77" s="177">
        <f>VLOOKUP($D77,'2024Data to Complete Appendix C'!$C$8:$Q$313,13,FALSE)</f>
        <v>0.61676391200000003</v>
      </c>
      <c r="R77" s="176">
        <f>VLOOKUP($D77,'2024Data to Complete Appendix C'!$C$8:$Q$313,14,FALSE)</f>
        <v>2.2999999999999998</v>
      </c>
      <c r="S77" s="177">
        <f>VLOOKUP($D77,'2024Data to Complete Appendix C'!$C$8:$Q$313,15,FALSE)</f>
        <v>-0.74034</v>
      </c>
      <c r="T77" s="175">
        <f>IFERROR(VLOOKUP($D77,'2024_Lodging_by_WUP'!$A:$D,4,FALSE),0)</f>
        <v>0</v>
      </c>
      <c r="U77" s="175">
        <f t="shared" si="1"/>
        <v>0</v>
      </c>
      <c r="V77" s="178">
        <f>IFERROR(VLOOKUP($D77,Total_DU!$B$5:$AB$171,24,0),0)</f>
        <v>0</v>
      </c>
      <c r="W77" s="178">
        <f>IFERROR(VLOOKUP($D77,Total_DU!$B$5:$AB$174,25,0),0)</f>
        <v>0</v>
      </c>
      <c r="X77" s="178">
        <f>IFERROR(VLOOKUP($D77,Total_DU!$B$5:$AB$174,26,0),0)</f>
        <v>0</v>
      </c>
      <c r="Y77" s="178">
        <f>IFERROR(VLOOKUP($D77,Total_DU!$B$5:$AB$174,27,0),0)</f>
        <v>0</v>
      </c>
      <c r="Z77" s="178">
        <f>IFERROR(VLOOKUP($D77,Population!$B$5:$AA$175,23,FALSE),0)</f>
        <v>0</v>
      </c>
      <c r="AA77" s="178">
        <f>IFERROR(VLOOKUP($D77,Population!$B$5:$AA$175,24,FALSE),0)</f>
        <v>0</v>
      </c>
      <c r="AB77" s="178">
        <f>IFERROR(VLOOKUP($D77,Population!$B$5:$AA$175,25,FALSE),0)</f>
        <v>0</v>
      </c>
      <c r="AC77" s="178">
        <f>IFERROR(VLOOKUP($D77,Population!$B$5:$AA$175,26,FALSE),0)</f>
        <v>0</v>
      </c>
    </row>
    <row r="78" spans="1:29" x14ac:dyDescent="0.2">
      <c r="A78" s="1" t="s">
        <v>473</v>
      </c>
      <c r="B78" s="1" t="s">
        <v>480</v>
      </c>
      <c r="C78" s="1" t="s">
        <v>481</v>
      </c>
      <c r="D78" s="1">
        <v>8953</v>
      </c>
      <c r="E78" s="1">
        <v>2024</v>
      </c>
      <c r="F78" s="175">
        <f>VLOOKUP($D78,'2024Data to Complete Appendix C'!$C$8:$Q$313,2,FALSE)</f>
        <v>1734</v>
      </c>
      <c r="G78" s="175">
        <f>VLOOKUP($D78,'2024Data to Complete Appendix C'!$C$8:$Q$313,3,FALSE)</f>
        <v>839</v>
      </c>
      <c r="H78" s="175">
        <f>VLOOKUP($D78,'2024Data to Complete Appendix C'!$C$8:$Q$313,4,FALSE)</f>
        <v>36</v>
      </c>
      <c r="I78" s="175">
        <f>VLOOKUP($D78,'2024Data to Complete Appendix C'!$C$8:$Q$313,5,FALSE)</f>
        <v>1044</v>
      </c>
      <c r="J78" s="176">
        <f>VLOOKUP($D78,'2024Data to Complete Appendix C'!$C$8:$Q$313,6,FALSE)</f>
        <v>2.0667499999999999</v>
      </c>
      <c r="K78" s="176">
        <f>VLOOKUP($D78,'2024Data to Complete Appendix C'!$C$8:$Q$313,7,FALSE)</f>
        <v>1.95</v>
      </c>
      <c r="L78" s="176">
        <f>VLOOKUP($D78,'2024Data to Complete Appendix C'!$C$8:$Q$313,8,FALSE)</f>
        <v>1.21417</v>
      </c>
      <c r="M78" s="175">
        <f>VLOOKUP($D78,'2024Data to Complete Appendix C'!$C$8:$Q$313,9,FALSE)</f>
        <v>190.44399999999999</v>
      </c>
      <c r="N78" s="176">
        <f>VLOOKUP($D78,'2024Data to Complete Appendix C'!$C$8:$Q$313,10,FALSE)</f>
        <v>0.18499699999999999</v>
      </c>
      <c r="O78" s="177">
        <f>VLOOKUP($D78,'2024Data to Complete Appendix C'!$C$8:$Q$313,11,FALSE)</f>
        <v>0.56699999999999995</v>
      </c>
      <c r="P78" s="177">
        <f>VLOOKUP($D78,'2024Data to Complete Appendix C'!$C$8:$Q$313,12,FALSE)</f>
        <v>0.77268000000000003</v>
      </c>
      <c r="Q78" s="177">
        <f>VLOOKUP($D78,'2024Data to Complete Appendix C'!$C$8:$Q$313,13,FALSE)</f>
        <v>0.61676391200000003</v>
      </c>
      <c r="R78" s="176">
        <f>VLOOKUP($D78,'2024Data to Complete Appendix C'!$C$8:$Q$313,14,FALSE)</f>
        <v>2.2999999999999998</v>
      </c>
      <c r="S78" s="177">
        <f>VLOOKUP($D78,'2024Data to Complete Appendix C'!$C$8:$Q$313,15,FALSE)</f>
        <v>-0.45571800000000001</v>
      </c>
      <c r="T78" s="175">
        <f>IFERROR(VLOOKUP($D78,'2024_Lodging_by_WUP'!$A:$D,4,FALSE),0)</f>
        <v>51</v>
      </c>
      <c r="U78" s="175">
        <f t="shared" si="1"/>
        <v>72.346406877600003</v>
      </c>
      <c r="V78" s="178">
        <f>IFERROR(VLOOKUP($D78,Total_DU!$B$5:$AB$171,24,0),0)</f>
        <v>781</v>
      </c>
      <c r="W78" s="178">
        <f>IFERROR(VLOOKUP($D78,Total_DU!$B$5:$AB$174,25,0),0)</f>
        <v>776</v>
      </c>
      <c r="X78" s="178">
        <f>IFERROR(VLOOKUP($D78,Total_DU!$B$5:$AB$174,26,0),0)</f>
        <v>776</v>
      </c>
      <c r="Y78" s="178">
        <f>IFERROR(VLOOKUP($D78,Total_DU!$B$5:$AB$174,27,0),0)</f>
        <v>743</v>
      </c>
      <c r="Z78" s="178">
        <f>IFERROR(VLOOKUP($D78,Population!$B$5:$AA$175,23,FALSE),0)</f>
        <v>1664.6439968700677</v>
      </c>
      <c r="AA78" s="178">
        <f>IFERROR(VLOOKUP($D78,Population!$B$5:$AA$175,24,FALSE),0)</f>
        <v>1633</v>
      </c>
      <c r="AB78" s="178">
        <f>IFERROR(VLOOKUP($D78,Population!$B$5:$AA$175,25,FALSE),0)</f>
        <v>1657.5743391854153</v>
      </c>
      <c r="AC78" s="178">
        <f>IFERROR(VLOOKUP($D78,Population!$B$5:$AA$175,26,FALSE),0)</f>
        <v>1484.235403180606</v>
      </c>
    </row>
    <row r="79" spans="1:29" x14ac:dyDescent="0.2">
      <c r="A79" s="1" t="s">
        <v>482</v>
      </c>
      <c r="B79" s="1" t="s">
        <v>483</v>
      </c>
      <c r="C79" s="1" t="s">
        <v>484</v>
      </c>
      <c r="D79" s="1">
        <v>6392</v>
      </c>
      <c r="E79" s="1">
        <v>2024</v>
      </c>
      <c r="F79" s="175">
        <f>VLOOKUP($D79,'2024Data to Complete Appendix C'!$C$8:$Q$313,2,FALSE)</f>
        <v>68357</v>
      </c>
      <c r="G79" s="175">
        <f>VLOOKUP($D79,'2024Data to Complete Appendix C'!$C$8:$Q$313,3,FALSE)</f>
        <v>30910</v>
      </c>
      <c r="H79" s="175">
        <f>VLOOKUP($D79,'2024Data to Complete Appendix C'!$C$8:$Q$313,4,FALSE)</f>
        <v>2139</v>
      </c>
      <c r="I79" s="175">
        <f>VLOOKUP($D79,'2024Data to Complete Appendix C'!$C$8:$Q$313,5,FALSE)</f>
        <v>36839</v>
      </c>
      <c r="J79" s="176">
        <f>VLOOKUP($D79,'2024Data to Complete Appendix C'!$C$8:$Q$313,6,FALSE)</f>
        <v>2.2114799999999999</v>
      </c>
      <c r="K79" s="176">
        <f>VLOOKUP($D79,'2024Data to Complete Appendix C'!$C$8:$Q$313,7,FALSE)</f>
        <v>1.95</v>
      </c>
      <c r="L79" s="176">
        <f>VLOOKUP($D79,'2024Data to Complete Appendix C'!$C$8:$Q$313,8,FALSE)</f>
        <v>1.0632200000000001</v>
      </c>
      <c r="M79" s="175">
        <f>VLOOKUP($D79,'2024Data to Complete Appendix C'!$C$8:$Q$313,9,FALSE)</f>
        <v>2216.12</v>
      </c>
      <c r="N79" s="176">
        <f>VLOOKUP($D79,'2024Data to Complete Appendix C'!$C$8:$Q$313,10,FALSE)</f>
        <v>6.6899299999999995E-2</v>
      </c>
      <c r="O79" s="177">
        <f>VLOOKUP($D79,'2024Data to Complete Appendix C'!$C$8:$Q$313,11,FALSE)</f>
        <v>0.442</v>
      </c>
      <c r="P79" s="177">
        <f>VLOOKUP($D79,'2024Data to Complete Appendix C'!$C$8:$Q$313,12,FALSE)</f>
        <v>0.70704999999999996</v>
      </c>
      <c r="Q79" s="177">
        <f>VLOOKUP($D79,'2024Data to Complete Appendix C'!$C$8:$Q$313,13,FALSE)</f>
        <v>0.68083046000000003</v>
      </c>
      <c r="R79" s="176">
        <f>VLOOKUP($D79,'2024Data to Complete Appendix C'!$C$8:$Q$313,14,FALSE)</f>
        <v>2.7</v>
      </c>
      <c r="S79" s="177">
        <f>VLOOKUP($D79,'2024Data to Complete Appendix C'!$C$8:$Q$313,15,FALSE)</f>
        <v>0.21307899999999999</v>
      </c>
      <c r="T79" s="175">
        <f>IFERROR(VLOOKUP($D79,'2024_Lodging_by_WUP'!$A:$D,4,FALSE),0)</f>
        <v>1146</v>
      </c>
      <c r="U79" s="175">
        <f t="shared" si="1"/>
        <v>2106.6256093320003</v>
      </c>
      <c r="V79" s="178">
        <f>IFERROR(VLOOKUP($D79,Total_DU!$B$5:$AB$171,24,0),0)</f>
        <v>32503</v>
      </c>
      <c r="W79" s="178">
        <f>IFERROR(VLOOKUP($D79,Total_DU!$B$5:$AB$174,25,0),0)</f>
        <v>32503</v>
      </c>
      <c r="X79" s="178">
        <f>IFERROR(VLOOKUP($D79,Total_DU!$B$5:$AB$174,26,0),0)</f>
        <v>31799</v>
      </c>
      <c r="Y79" s="178">
        <f>IFERROR(VLOOKUP($D79,Total_DU!$B$5:$AB$174,27,0),0)</f>
        <v>31079</v>
      </c>
      <c r="Z79" s="178">
        <f>IFERROR(VLOOKUP($D79,Population!$B$5:$AA$175,23,FALSE),0)</f>
        <v>75465.885364008311</v>
      </c>
      <c r="AA79" s="178">
        <f>IFERROR(VLOOKUP($D79,Population!$B$5:$AA$175,24,FALSE),0)</f>
        <v>75307</v>
      </c>
      <c r="AB79" s="178">
        <f>IFERROR(VLOOKUP($D79,Population!$B$5:$AA$175,25,FALSE),0)</f>
        <v>74406</v>
      </c>
      <c r="AC79" s="178">
        <f>IFERROR(VLOOKUP($D79,Population!$B$5:$AA$175,26,FALSE),0)</f>
        <v>72512</v>
      </c>
    </row>
    <row r="80" spans="1:29" x14ac:dyDescent="0.2">
      <c r="A80" s="1" t="s">
        <v>482</v>
      </c>
      <c r="B80" s="1" t="s">
        <v>485</v>
      </c>
      <c r="C80" s="1" t="s">
        <v>486</v>
      </c>
      <c r="D80" s="1">
        <v>10963</v>
      </c>
      <c r="E80" s="1">
        <v>2024</v>
      </c>
      <c r="F80" s="175">
        <f>VLOOKUP($D80,'2024Data to Complete Appendix C'!$C$8:$Q$313,2,FALSE)</f>
        <v>7505</v>
      </c>
      <c r="G80" s="175">
        <f>VLOOKUP($D80,'2024Data to Complete Appendix C'!$C$8:$Q$313,3,FALSE)</f>
        <v>4200</v>
      </c>
      <c r="H80" s="175">
        <f>VLOOKUP($D80,'2024Data to Complete Appendix C'!$C$8:$Q$313,4,FALSE)</f>
        <v>0</v>
      </c>
      <c r="I80" s="175">
        <f>VLOOKUP($D80,'2024Data to Complete Appendix C'!$C$8:$Q$313,5,FALSE)</f>
        <v>9744</v>
      </c>
      <c r="J80" s="176">
        <f>VLOOKUP($D80,'2024Data to Complete Appendix C'!$C$8:$Q$313,6,FALSE)</f>
        <v>1.7868999999999999</v>
      </c>
      <c r="K80" s="176">
        <f>VLOOKUP($D80,'2024Data to Complete Appendix C'!$C$8:$Q$313,7,FALSE)</f>
        <v>1.95</v>
      </c>
      <c r="L80" s="176">
        <f>VLOOKUP($D80,'2024Data to Complete Appendix C'!$C$8:$Q$313,8,FALSE)</f>
        <v>1.29088</v>
      </c>
      <c r="M80" s="175">
        <f>VLOOKUP($D80,'2024Data to Complete Appendix C'!$C$8:$Q$313,9,FALSE)</f>
        <v>1119.51</v>
      </c>
      <c r="N80" s="176">
        <f>VLOOKUP($D80,'2024Data to Complete Appendix C'!$C$8:$Q$313,10,FALSE)</f>
        <v>0.210454</v>
      </c>
      <c r="O80" s="177">
        <f>VLOOKUP($D80,'2024Data to Complete Appendix C'!$C$8:$Q$313,11,FALSE)</f>
        <v>0.442</v>
      </c>
      <c r="P80" s="177">
        <f>VLOOKUP($D80,'2024Data to Complete Appendix C'!$C$8:$Q$313,12,FALSE)</f>
        <v>0.70704999999999996</v>
      </c>
      <c r="Q80" s="177">
        <f>VLOOKUP($D80,'2024Data to Complete Appendix C'!$C$8:$Q$313,13,FALSE)</f>
        <v>0.68083046000000003</v>
      </c>
      <c r="R80" s="176">
        <f>VLOOKUP($D80,'2024Data to Complete Appendix C'!$C$8:$Q$313,14,FALSE)</f>
        <v>2.7</v>
      </c>
      <c r="S80" s="177">
        <f>VLOOKUP($D80,'2024Data to Complete Appendix C'!$C$8:$Q$313,15,FALSE)</f>
        <v>0.17724999999999999</v>
      </c>
      <c r="T80" s="175">
        <f>IFERROR(VLOOKUP($D80,'2024_Lodging_by_WUP'!$A:$D,4,FALSE),0)</f>
        <v>858</v>
      </c>
      <c r="U80" s="175">
        <f t="shared" si="1"/>
        <v>1577.2118436360001</v>
      </c>
      <c r="V80" s="178">
        <f>IFERROR(VLOOKUP($D80,Total_DU!$B$5:$AB$171,24,0),0)</f>
        <v>9542</v>
      </c>
      <c r="W80" s="178">
        <f>IFERROR(VLOOKUP($D80,Total_DU!$B$5:$AB$174,25,0),0)</f>
        <v>9454</v>
      </c>
      <c r="X80" s="178">
        <f>IFERROR(VLOOKUP($D80,Total_DU!$B$5:$AB$174,26,0),0)</f>
        <v>9580</v>
      </c>
      <c r="Y80" s="178">
        <f>IFERROR(VLOOKUP($D80,Total_DU!$B$5:$AB$174,27,0),0)</f>
        <v>9577</v>
      </c>
      <c r="Z80" s="178">
        <f>IFERROR(VLOOKUP($D80,Population!$B$5:$AA$175,23,FALSE),0)</f>
        <v>19000.186461470061</v>
      </c>
      <c r="AA80" s="178">
        <f>IFERROR(VLOOKUP($D80,Population!$B$5:$AA$175,24,FALSE),0)</f>
        <v>18356</v>
      </c>
      <c r="AB80" s="178">
        <f>IFERROR(VLOOKUP($D80,Population!$B$5:$AA$175,25,FALSE),0)</f>
        <v>18947</v>
      </c>
      <c r="AC80" s="178">
        <f>IFERROR(VLOOKUP($D80,Population!$B$5:$AA$175,26,FALSE),0)</f>
        <v>18290.848216085698</v>
      </c>
    </row>
    <row r="81" spans="1:29" x14ac:dyDescent="0.2">
      <c r="A81" s="1" t="s">
        <v>482</v>
      </c>
      <c r="B81" s="1" t="s">
        <v>487</v>
      </c>
      <c r="C81" s="1" t="s">
        <v>488</v>
      </c>
      <c r="D81" s="1">
        <v>12443</v>
      </c>
      <c r="E81" s="1">
        <v>2024</v>
      </c>
      <c r="F81" s="175">
        <f>VLOOKUP($D81,'2024Data to Complete Appendix C'!$C$8:$Q$313,2,FALSE)</f>
        <v>16046</v>
      </c>
      <c r="G81" s="175">
        <f>VLOOKUP($D81,'2024Data to Complete Appendix C'!$C$8:$Q$313,3,FALSE)</f>
        <v>6547</v>
      </c>
      <c r="H81" s="175">
        <f>VLOOKUP($D81,'2024Data to Complete Appendix C'!$C$8:$Q$313,4,FALSE)</f>
        <v>147</v>
      </c>
      <c r="I81" s="175">
        <f>VLOOKUP($D81,'2024Data to Complete Appendix C'!$C$8:$Q$313,5,FALSE)</f>
        <v>8272</v>
      </c>
      <c r="J81" s="176">
        <f>VLOOKUP($D81,'2024Data to Complete Appendix C'!$C$8:$Q$313,6,FALSE)</f>
        <v>2.4508899999999998</v>
      </c>
      <c r="K81" s="176">
        <f>VLOOKUP($D81,'2024Data to Complete Appendix C'!$C$8:$Q$313,7,FALSE)</f>
        <v>1.95</v>
      </c>
      <c r="L81" s="176">
        <f>VLOOKUP($D81,'2024Data to Complete Appendix C'!$C$8:$Q$313,8,FALSE)</f>
        <v>1.0895600000000001</v>
      </c>
      <c r="M81" s="175">
        <f>VLOOKUP($D81,'2024Data to Complete Appendix C'!$C$8:$Q$313,9,FALSE)</f>
        <v>736.97400000000005</v>
      </c>
      <c r="N81" s="176">
        <f>VLOOKUP($D81,'2024Data to Complete Appendix C'!$C$8:$Q$313,10,FALSE)</f>
        <v>0.101177</v>
      </c>
      <c r="O81" s="177">
        <f>VLOOKUP($D81,'2024Data to Complete Appendix C'!$C$8:$Q$313,11,FALSE)</f>
        <v>0.442</v>
      </c>
      <c r="P81" s="177">
        <f>VLOOKUP($D81,'2024Data to Complete Appendix C'!$C$8:$Q$313,12,FALSE)</f>
        <v>0.70704999999999996</v>
      </c>
      <c r="Q81" s="177">
        <f>VLOOKUP($D81,'2024Data to Complete Appendix C'!$C$8:$Q$313,13,FALSE)</f>
        <v>0.68083046000000003</v>
      </c>
      <c r="R81" s="176">
        <f>VLOOKUP($D81,'2024Data to Complete Appendix C'!$C$8:$Q$313,14,FALSE)</f>
        <v>2.7</v>
      </c>
      <c r="S81" s="177">
        <f>VLOOKUP($D81,'2024Data to Complete Appendix C'!$C$8:$Q$313,15,FALSE)</f>
        <v>1.51176E-2</v>
      </c>
      <c r="T81" s="175">
        <f>IFERROR(VLOOKUP($D81,'2024_Lodging_by_WUP'!$A:$D,4,FALSE),0)</f>
        <v>22</v>
      </c>
      <c r="U81" s="175">
        <f t="shared" si="1"/>
        <v>40.441329324000009</v>
      </c>
      <c r="V81" s="178">
        <f>IFERROR(VLOOKUP($D81,Total_DU!$B$5:$AB$171,24,0),0)</f>
        <v>7706</v>
      </c>
      <c r="W81" s="178">
        <f>IFERROR(VLOOKUP($D81,Total_DU!$B$5:$AB$174,25,0),0)</f>
        <v>7615</v>
      </c>
      <c r="X81" s="178">
        <f>IFERROR(VLOOKUP($D81,Total_DU!$B$5:$AB$174,26,0),0)</f>
        <v>7652</v>
      </c>
      <c r="Y81" s="178">
        <f>IFERROR(VLOOKUP($D81,Total_DU!$B$5:$AB$174,27,0),0)</f>
        <v>7652</v>
      </c>
      <c r="Z81" s="178">
        <f>IFERROR(VLOOKUP($D81,Population!$B$5:$AA$175,23,FALSE),0)</f>
        <v>18849.389846981147</v>
      </c>
      <c r="AA81" s="178">
        <f>IFERROR(VLOOKUP($D81,Population!$B$5:$AA$175,24,FALSE),0)</f>
        <v>18620</v>
      </c>
      <c r="AB81" s="178">
        <f>IFERROR(VLOOKUP($D81,Population!$B$5:$AA$175,25,FALSE),0)</f>
        <v>18722</v>
      </c>
      <c r="AC81" s="178">
        <f>IFERROR(VLOOKUP($D81,Population!$B$5:$AA$175,26,FALSE),0)</f>
        <v>18128.626566932195</v>
      </c>
    </row>
    <row r="82" spans="1:29" x14ac:dyDescent="0.2">
      <c r="A82" s="1" t="s">
        <v>482</v>
      </c>
      <c r="B82" s="1" t="s">
        <v>489</v>
      </c>
      <c r="C82" s="1" t="s">
        <v>490</v>
      </c>
      <c r="D82" s="1">
        <v>13343</v>
      </c>
      <c r="E82" s="1">
        <v>2024</v>
      </c>
      <c r="F82" s="175">
        <f>VLOOKUP($D82,'2024Data to Complete Appendix C'!$C$8:$Q$313,2,FALSE)</f>
        <v>325949</v>
      </c>
      <c r="G82" s="175">
        <f>VLOOKUP($D82,'2024Data to Complete Appendix C'!$C$8:$Q$313,3,FALSE)</f>
        <v>139754</v>
      </c>
      <c r="H82" s="175">
        <f>VLOOKUP($D82,'2024Data to Complete Appendix C'!$C$8:$Q$313,4,FALSE)</f>
        <v>4654</v>
      </c>
      <c r="I82" s="175">
        <f>VLOOKUP($D82,'2024Data to Complete Appendix C'!$C$8:$Q$313,5,FALSE)</f>
        <v>170966</v>
      </c>
      <c r="J82" s="176">
        <f>VLOOKUP($D82,'2024Data to Complete Appendix C'!$C$8:$Q$313,6,FALSE)</f>
        <v>2.3323100000000001</v>
      </c>
      <c r="K82" s="176">
        <f>VLOOKUP($D82,'2024Data to Complete Appendix C'!$C$8:$Q$313,7,FALSE)</f>
        <v>1.95</v>
      </c>
      <c r="L82" s="176">
        <f>VLOOKUP($D82,'2024Data to Complete Appendix C'!$C$8:$Q$313,8,FALSE)</f>
        <v>1.0682499999999999</v>
      </c>
      <c r="M82" s="175">
        <f>VLOOKUP($D82,'2024Data to Complete Appendix C'!$C$8:$Q$313,9,FALSE)</f>
        <v>11408.6</v>
      </c>
      <c r="N82" s="176">
        <f>VLOOKUP($D82,'2024Data to Complete Appendix C'!$C$8:$Q$313,10,FALSE)</f>
        <v>7.5472399999999995E-2</v>
      </c>
      <c r="O82" s="177">
        <f>VLOOKUP($D82,'2024Data to Complete Appendix C'!$C$8:$Q$313,11,FALSE)</f>
        <v>0.442</v>
      </c>
      <c r="P82" s="177">
        <f>VLOOKUP($D82,'2024Data to Complete Appendix C'!$C$8:$Q$313,12,FALSE)</f>
        <v>0.70704999999999996</v>
      </c>
      <c r="Q82" s="177">
        <f>VLOOKUP($D82,'2024Data to Complete Appendix C'!$C$8:$Q$313,13,FALSE)</f>
        <v>0.68083046000000003</v>
      </c>
      <c r="R82" s="176">
        <f>VLOOKUP($D82,'2024Data to Complete Appendix C'!$C$8:$Q$313,14,FALSE)</f>
        <v>2.7</v>
      </c>
      <c r="S82" s="177">
        <f>VLOOKUP($D82,'2024Data to Complete Appendix C'!$C$8:$Q$313,15,FALSE)</f>
        <v>-0.23013800000000001</v>
      </c>
      <c r="T82" s="175">
        <f>IFERROR(VLOOKUP($D82,'2024_Lodging_by_WUP'!$A:$D,4,FALSE),0)</f>
        <v>4757</v>
      </c>
      <c r="U82" s="175">
        <f t="shared" si="1"/>
        <v>8744.5183451940011</v>
      </c>
      <c r="V82" s="178">
        <f>IFERROR(VLOOKUP($D82,Total_DU!$B$5:$AB$171,24,0),0)</f>
        <v>161701</v>
      </c>
      <c r="W82" s="178">
        <f>IFERROR(VLOOKUP($D82,Total_DU!$B$5:$AB$174,25,0),0)</f>
        <v>166596</v>
      </c>
      <c r="X82" s="178">
        <f>IFERROR(VLOOKUP($D82,Total_DU!$B$5:$AB$174,26,0),0)</f>
        <v>173486</v>
      </c>
      <c r="Y82" s="178">
        <f>IFERROR(VLOOKUP($D82,Total_DU!$B$5:$AB$174,27,0),0)</f>
        <v>186530</v>
      </c>
      <c r="Z82" s="178">
        <f>IFERROR(VLOOKUP($D82,Population!$B$5:$AA$175,23,FALSE),0)</f>
        <v>378390</v>
      </c>
      <c r="AA82" s="178">
        <f>IFERROR(VLOOKUP($D82,Population!$B$5:$AA$175,24,FALSE),0)</f>
        <v>388253</v>
      </c>
      <c r="AB82" s="178">
        <f>IFERROR(VLOOKUP($D82,Population!$B$5:$AA$175,25,FALSE),0)</f>
        <v>408138</v>
      </c>
      <c r="AC82" s="178">
        <f>IFERROR(VLOOKUP($D82,Population!$B$5:$AA$175,26,FALSE),0)</f>
        <v>435548</v>
      </c>
    </row>
    <row r="83" spans="1:29" x14ac:dyDescent="0.2">
      <c r="A83" s="1" t="s">
        <v>491</v>
      </c>
      <c r="B83" s="1" t="s">
        <v>492</v>
      </c>
      <c r="C83" s="1" t="s">
        <v>493</v>
      </c>
      <c r="D83" s="1">
        <v>1156</v>
      </c>
      <c r="E83" s="1">
        <v>2024</v>
      </c>
      <c r="F83" s="175">
        <f>VLOOKUP($D83,'2024Data to Complete Appendix C'!$C$8:$Q$313,2,FALSE)</f>
        <v>14374</v>
      </c>
      <c r="G83" s="175">
        <f>VLOOKUP($D83,'2024Data to Complete Appendix C'!$C$8:$Q$313,3,FALSE)</f>
        <v>8123</v>
      </c>
      <c r="H83" s="175">
        <f>VLOOKUP($D83,'2024Data to Complete Appendix C'!$C$8:$Q$313,4,FALSE)</f>
        <v>309</v>
      </c>
      <c r="I83" s="175">
        <f>VLOOKUP($D83,'2024Data to Complete Appendix C'!$C$8:$Q$313,5,FALSE)</f>
        <v>8867</v>
      </c>
      <c r="J83" s="176">
        <f>VLOOKUP($D83,'2024Data to Complete Appendix C'!$C$8:$Q$313,6,FALSE)</f>
        <v>1.7695399999999999</v>
      </c>
      <c r="K83" s="176">
        <f>VLOOKUP($D83,'2024Data to Complete Appendix C'!$C$8:$Q$313,7,FALSE)</f>
        <v>1.95</v>
      </c>
      <c r="L83" s="176">
        <f>VLOOKUP($D83,'2024Data to Complete Appendix C'!$C$8:$Q$313,8,FALSE)</f>
        <v>1.01942</v>
      </c>
      <c r="M83" s="175">
        <f>VLOOKUP($D83,'2024Data to Complete Appendix C'!$C$8:$Q$313,9,FALSE)</f>
        <v>143.15899999999999</v>
      </c>
      <c r="N83" s="176">
        <f>VLOOKUP($D83,'2024Data to Complete Appendix C'!$C$8:$Q$313,10,FALSE)</f>
        <v>1.7318699999999999E-2</v>
      </c>
      <c r="O83" s="177">
        <f>VLOOKUP($D83,'2024Data to Complete Appendix C'!$C$8:$Q$313,11,FALSE)</f>
        <v>0.56699999999999995</v>
      </c>
      <c r="P83" s="177">
        <f>VLOOKUP($D83,'2024Data to Complete Appendix C'!$C$8:$Q$313,12,FALSE)</f>
        <v>0.77268000000000003</v>
      </c>
      <c r="Q83" s="177">
        <f>VLOOKUP($D83,'2024Data to Complete Appendix C'!$C$8:$Q$313,13,FALSE)</f>
        <v>0.61676391200000003</v>
      </c>
      <c r="R83" s="176">
        <f>VLOOKUP($D83,'2024Data to Complete Appendix C'!$C$8:$Q$313,14,FALSE)</f>
        <v>2.2999999999999998</v>
      </c>
      <c r="S83" s="177">
        <f>VLOOKUP($D83,'2024Data to Complete Appendix C'!$C$8:$Q$313,15,FALSE)</f>
        <v>3.1753799999999999E-2</v>
      </c>
      <c r="T83" s="175">
        <f>IFERROR(VLOOKUP($D83,'2024_Lodging_by_WUP'!$A:$D,4,FALSE),0)</f>
        <v>127</v>
      </c>
      <c r="U83" s="175">
        <f t="shared" si="1"/>
        <v>180.1567386952</v>
      </c>
      <c r="V83" s="178">
        <f>IFERROR(VLOOKUP($D83,Total_DU!$B$5:$AB$171,24,0),0)</f>
        <v>8514</v>
      </c>
      <c r="W83" s="178">
        <f>IFERROR(VLOOKUP($D83,Total_DU!$B$5:$AB$174,25,0),0)</f>
        <v>9432</v>
      </c>
      <c r="X83" s="178">
        <f>IFERROR(VLOOKUP($D83,Total_DU!$B$5:$AB$174,26,0),0)</f>
        <v>10563</v>
      </c>
      <c r="Y83" s="178">
        <f>IFERROR(VLOOKUP($D83,Total_DU!$B$5:$AB$174,27,0),0)</f>
        <v>11389</v>
      </c>
      <c r="Z83" s="178">
        <f>IFERROR(VLOOKUP($D83,Population!$B$5:$AA$175,23,FALSE),0)</f>
        <v>14909.764922296936</v>
      </c>
      <c r="AA83" s="178">
        <f>IFERROR(VLOOKUP($D83,Population!$B$5:$AA$175,24,FALSE),0)</f>
        <v>16516</v>
      </c>
      <c r="AB83" s="178">
        <f>IFERROR(VLOOKUP($D83,Population!$B$5:$AA$175,25,FALSE),0)</f>
        <v>18688</v>
      </c>
      <c r="AC83" s="178">
        <f>IFERROR(VLOOKUP($D83,Population!$B$5:$AA$175,26,FALSE),0)</f>
        <v>20584.480791078022</v>
      </c>
    </row>
    <row r="84" spans="1:29" x14ac:dyDescent="0.2">
      <c r="A84" s="1" t="s">
        <v>491</v>
      </c>
      <c r="B84" s="1" t="s">
        <v>494</v>
      </c>
      <c r="C84" s="1" t="s">
        <v>495</v>
      </c>
      <c r="D84" s="1">
        <v>2999</v>
      </c>
      <c r="E84" s="1">
        <v>2024</v>
      </c>
      <c r="F84" s="175">
        <f>VLOOKUP($D84,'2024Data to Complete Appendix C'!$C$8:$Q$313,2,FALSE)</f>
        <v>1167</v>
      </c>
      <c r="G84" s="175">
        <f>VLOOKUP($D84,'2024Data to Complete Appendix C'!$C$8:$Q$313,3,FALSE)</f>
        <v>556</v>
      </c>
      <c r="H84" s="175">
        <f>VLOOKUP($D84,'2024Data to Complete Appendix C'!$C$8:$Q$313,4,FALSE)</f>
        <v>0</v>
      </c>
      <c r="I84" s="175">
        <f>VLOOKUP($D84,'2024Data to Complete Appendix C'!$C$8:$Q$313,5,FALSE)</f>
        <v>611</v>
      </c>
      <c r="J84" s="176">
        <f>VLOOKUP($D84,'2024Data to Complete Appendix C'!$C$8:$Q$313,6,FALSE)</f>
        <v>2.0989200000000001</v>
      </c>
      <c r="K84" s="176">
        <f>VLOOKUP($D84,'2024Data to Complete Appendix C'!$C$8:$Q$313,7,FALSE)</f>
        <v>1.95</v>
      </c>
      <c r="L84" s="176">
        <f>VLOOKUP($D84,'2024Data to Complete Appendix C'!$C$8:$Q$313,8,FALSE)</f>
        <v>1.0123200000000001</v>
      </c>
      <c r="M84" s="175">
        <f>VLOOKUP($D84,'2024Data to Complete Appendix C'!$C$8:$Q$313,9,FALSE)</f>
        <v>7.3708600000000004</v>
      </c>
      <c r="N84" s="176">
        <f>VLOOKUP($D84,'2024Data to Complete Appendix C'!$C$8:$Q$313,10,FALSE)</f>
        <v>1.30835E-2</v>
      </c>
      <c r="O84" s="177">
        <f>VLOOKUP($D84,'2024Data to Complete Appendix C'!$C$8:$Q$313,11,FALSE)</f>
        <v>0.56699999999999995</v>
      </c>
      <c r="P84" s="177">
        <f>VLOOKUP($D84,'2024Data to Complete Appendix C'!$C$8:$Q$313,12,FALSE)</f>
        <v>0.77268000000000003</v>
      </c>
      <c r="Q84" s="177">
        <f>VLOOKUP($D84,'2024Data to Complete Appendix C'!$C$8:$Q$313,13,FALSE)</f>
        <v>0.61676391200000003</v>
      </c>
      <c r="R84" s="176">
        <f>VLOOKUP($D84,'2024Data to Complete Appendix C'!$C$8:$Q$313,14,FALSE)</f>
        <v>2.2999999999999998</v>
      </c>
      <c r="S84" s="177">
        <f>VLOOKUP($D84,'2024Data to Complete Appendix C'!$C$8:$Q$313,15,FALSE)</f>
        <v>-0.41318199999999999</v>
      </c>
      <c r="T84" s="175">
        <f>IFERROR(VLOOKUP($D84,'2024_Lodging_by_WUP'!$A:$D,4,FALSE),0)</f>
        <v>1</v>
      </c>
      <c r="U84" s="175">
        <f t="shared" si="1"/>
        <v>1.4185569975999999</v>
      </c>
      <c r="V84" s="178">
        <f>IFERROR(VLOOKUP($D84,Total_DU!$B$5:$AB$171,24,0),0)</f>
        <v>497</v>
      </c>
      <c r="W84" s="178">
        <f>IFERROR(VLOOKUP($D84,Total_DU!$B$5:$AB$174,25,0),0)</f>
        <v>500</v>
      </c>
      <c r="X84" s="178" t="str">
        <f>IFERROR(VLOOKUP($D84,Total_DU!$B$5:$AB$174,26,0),0)</f>
        <v>NA</v>
      </c>
      <c r="Y84" s="178" t="str">
        <f>IFERROR(VLOOKUP($D84,Total_DU!$B$5:$AB$174,27,0),0)</f>
        <v>NA</v>
      </c>
      <c r="Z84" s="178">
        <f>IFERROR(VLOOKUP($D84,Population!$B$5:$AA$175,23,FALSE),0)</f>
        <v>1127.5995888536936</v>
      </c>
      <c r="AA84" s="178">
        <f>IFERROR(VLOOKUP($D84,Population!$B$5:$AA$175,24,FALSE),0)</f>
        <v>1134</v>
      </c>
      <c r="AB84" s="178" t="str">
        <f>IFERROR(VLOOKUP($D84,Population!$B$5:$AA$175,25,FALSE),0)</f>
        <v>NA</v>
      </c>
      <c r="AC84" s="178" t="str">
        <f>IFERROR(VLOOKUP($D84,Population!$B$5:$AA$175,26,FALSE),0)</f>
        <v>NA</v>
      </c>
    </row>
    <row r="85" spans="1:29" x14ac:dyDescent="0.2">
      <c r="A85" s="1" t="s">
        <v>491</v>
      </c>
      <c r="B85" s="1" t="s">
        <v>496</v>
      </c>
      <c r="C85" s="1" t="s">
        <v>452</v>
      </c>
      <c r="D85" s="1">
        <v>5643</v>
      </c>
      <c r="E85" s="1">
        <v>2024</v>
      </c>
      <c r="F85" s="175">
        <f>VLOOKUP($D85,'2024Data to Complete Appendix C'!$C$8:$Q$313,2,FALSE)</f>
        <v>1003</v>
      </c>
      <c r="G85" s="175">
        <f>VLOOKUP($D85,'2024Data to Complete Appendix C'!$C$8:$Q$313,3,FALSE)</f>
        <v>506</v>
      </c>
      <c r="H85" s="175">
        <f>VLOOKUP($D85,'2024Data to Complete Appendix C'!$C$8:$Q$313,4,FALSE)</f>
        <v>0</v>
      </c>
      <c r="I85" s="175">
        <f>VLOOKUP($D85,'2024Data to Complete Appendix C'!$C$8:$Q$313,5,FALSE)</f>
        <v>605</v>
      </c>
      <c r="J85" s="176">
        <f>VLOOKUP($D85,'2024Data to Complete Appendix C'!$C$8:$Q$313,6,FALSE)</f>
        <v>1.98221</v>
      </c>
      <c r="K85" s="176">
        <f>VLOOKUP($D85,'2024Data to Complete Appendix C'!$C$8:$Q$313,7,FALSE)</f>
        <v>1.95</v>
      </c>
      <c r="L85" s="176">
        <f>VLOOKUP($D85,'2024Data to Complete Appendix C'!$C$8:$Q$313,8,FALSE)</f>
        <v>1.0513999999999999</v>
      </c>
      <c r="M85" s="175">
        <f>VLOOKUP($D85,'2024Data to Complete Appendix C'!$C$8:$Q$313,9,FALSE)</f>
        <v>26.4359</v>
      </c>
      <c r="N85" s="176">
        <f>VLOOKUP($D85,'2024Data to Complete Appendix C'!$C$8:$Q$313,10,FALSE)</f>
        <v>4.9650800000000002E-2</v>
      </c>
      <c r="O85" s="177">
        <f>VLOOKUP($D85,'2024Data to Complete Appendix C'!$C$8:$Q$313,11,FALSE)</f>
        <v>0.56699999999999995</v>
      </c>
      <c r="P85" s="177">
        <f>VLOOKUP($D85,'2024Data to Complete Appendix C'!$C$8:$Q$313,12,FALSE)</f>
        <v>0.77268000000000003</v>
      </c>
      <c r="Q85" s="177">
        <f>VLOOKUP($D85,'2024Data to Complete Appendix C'!$C$8:$Q$313,13,FALSE)</f>
        <v>0.61676391200000003</v>
      </c>
      <c r="R85" s="176">
        <f>VLOOKUP($D85,'2024Data to Complete Appendix C'!$C$8:$Q$313,14,FALSE)</f>
        <v>2.2999999999999998</v>
      </c>
      <c r="S85" s="177">
        <f>VLOOKUP($D85,'2024Data to Complete Appendix C'!$C$8:$Q$313,15,FALSE)</f>
        <v>-0.54917400000000005</v>
      </c>
      <c r="T85" s="175">
        <f>IFERROR(VLOOKUP($D85,'2024_Lodging_by_WUP'!$A:$D,4,FALSE),0)</f>
        <v>2</v>
      </c>
      <c r="U85" s="175">
        <f t="shared" si="1"/>
        <v>2.8371139951999997</v>
      </c>
      <c r="V85" s="178">
        <f>IFERROR(VLOOKUP($D85,Total_DU!$B$5:$AB$171,24,0),0)</f>
        <v>497</v>
      </c>
      <c r="W85" s="178">
        <f>IFERROR(VLOOKUP($D85,Total_DU!$B$5:$AB$174,25,0),0)</f>
        <v>504</v>
      </c>
      <c r="X85" s="178">
        <f>IFERROR(VLOOKUP($D85,Total_DU!$B$5:$AB$174,26,0),0)</f>
        <v>504</v>
      </c>
      <c r="Y85" s="178">
        <f>IFERROR(VLOOKUP($D85,Total_DU!$B$5:$AB$174,27,0),0)</f>
        <v>513</v>
      </c>
      <c r="Z85" s="178">
        <f>IFERROR(VLOOKUP($D85,Population!$B$5:$AA$175,23,FALSE),0)</f>
        <v>1000.0144819385646</v>
      </c>
      <c r="AA85" s="178">
        <f>IFERROR(VLOOKUP($D85,Population!$B$5:$AA$175,24,FALSE),0)</f>
        <v>1014</v>
      </c>
      <c r="AB85" s="178">
        <f>IFERROR(VLOOKUP($D85,Population!$B$5:$AA$175,25,FALSE),0)</f>
        <v>1014.0996948231241</v>
      </c>
      <c r="AC85" s="178">
        <f>IFERROR(VLOOKUP($D85,Population!$B$5:$AA$175,26,FALSE),0)</f>
        <v>1004.7641715562802</v>
      </c>
    </row>
    <row r="86" spans="1:29" x14ac:dyDescent="0.2">
      <c r="A86" s="1" t="s">
        <v>491</v>
      </c>
      <c r="B86" s="1" t="s">
        <v>497</v>
      </c>
      <c r="C86" s="1" t="s">
        <v>498</v>
      </c>
      <c r="D86" s="1">
        <v>5731</v>
      </c>
      <c r="E86" s="1">
        <v>2024</v>
      </c>
      <c r="F86" s="175">
        <f>VLOOKUP($D86,'2024Data to Complete Appendix C'!$C$8:$Q$313,2,FALSE)</f>
        <v>475</v>
      </c>
      <c r="G86" s="175">
        <f>VLOOKUP($D86,'2024Data to Complete Appendix C'!$C$8:$Q$313,3,FALSE)</f>
        <v>296</v>
      </c>
      <c r="H86" s="175">
        <f>VLOOKUP($D86,'2024Data to Complete Appendix C'!$C$8:$Q$313,4,FALSE)</f>
        <v>0</v>
      </c>
      <c r="I86" s="175">
        <f>VLOOKUP($D86,'2024Data to Complete Appendix C'!$C$8:$Q$313,5,FALSE)</f>
        <v>347</v>
      </c>
      <c r="J86" s="176">
        <f>VLOOKUP($D86,'2024Data to Complete Appendix C'!$C$8:$Q$313,6,FALSE)</f>
        <v>1.60473</v>
      </c>
      <c r="K86" s="176">
        <f>VLOOKUP($D86,'2024Data to Complete Appendix C'!$C$8:$Q$313,7,FALSE)</f>
        <v>1.95</v>
      </c>
      <c r="L86" s="176">
        <f>VLOOKUP($D86,'2024Data to Complete Appendix C'!$C$8:$Q$313,8,FALSE)</f>
        <v>1.0513999999999999</v>
      </c>
      <c r="M86" s="175">
        <f>VLOOKUP($D86,'2024Data to Complete Appendix C'!$C$8:$Q$313,9,FALSE)</f>
        <v>12.519500000000001</v>
      </c>
      <c r="N86" s="176">
        <f>VLOOKUP($D86,'2024Data to Complete Appendix C'!$C$8:$Q$313,10,FALSE)</f>
        <v>4.0579200000000003E-2</v>
      </c>
      <c r="O86" s="177">
        <f>VLOOKUP($D86,'2024Data to Complete Appendix C'!$C$8:$Q$313,11,FALSE)</f>
        <v>0.56699999999999995</v>
      </c>
      <c r="P86" s="177">
        <f>VLOOKUP($D86,'2024Data to Complete Appendix C'!$C$8:$Q$313,12,FALSE)</f>
        <v>0.77268000000000003</v>
      </c>
      <c r="Q86" s="177">
        <f>VLOOKUP($D86,'2024Data to Complete Appendix C'!$C$8:$Q$313,13,FALSE)</f>
        <v>0.61676391200000003</v>
      </c>
      <c r="R86" s="176">
        <f>VLOOKUP($D86,'2024Data to Complete Appendix C'!$C$8:$Q$313,14,FALSE)</f>
        <v>2.2999999999999998</v>
      </c>
      <c r="S86" s="177">
        <f>VLOOKUP($D86,'2024Data to Complete Appendix C'!$C$8:$Q$313,15,FALSE)</f>
        <v>0.90788999999999997</v>
      </c>
      <c r="T86" s="175">
        <f>IFERROR(VLOOKUP($D86,'2024_Lodging_by_WUP'!$A:$D,4,FALSE),0)</f>
        <v>0</v>
      </c>
      <c r="U86" s="175">
        <f t="shared" si="1"/>
        <v>0</v>
      </c>
      <c r="V86" s="178">
        <f>IFERROR(VLOOKUP($D86,Total_DU!$B$5:$AB$171,24,0),0)</f>
        <v>0</v>
      </c>
      <c r="W86" s="178">
        <f>IFERROR(VLOOKUP($D86,Total_DU!$B$5:$AB$174,25,0),0)</f>
        <v>0</v>
      </c>
      <c r="X86" s="178">
        <f>IFERROR(VLOOKUP($D86,Total_DU!$B$5:$AB$174,26,0),0)</f>
        <v>0</v>
      </c>
      <c r="Y86" s="178">
        <f>IFERROR(VLOOKUP($D86,Total_DU!$B$5:$AB$174,27,0),0)</f>
        <v>0</v>
      </c>
      <c r="Z86" s="178">
        <f>IFERROR(VLOOKUP($D86,Population!$B$5:$AA$175,23,FALSE),0)</f>
        <v>0</v>
      </c>
      <c r="AA86" s="178">
        <f>IFERROR(VLOOKUP($D86,Population!$B$5:$AA$175,24,FALSE),0)</f>
        <v>0</v>
      </c>
      <c r="AB86" s="178">
        <f>IFERROR(VLOOKUP($D86,Population!$B$5:$AA$175,25,FALSE),0)</f>
        <v>0</v>
      </c>
      <c r="AC86" s="178">
        <f>IFERROR(VLOOKUP($D86,Population!$B$5:$AA$175,26,FALSE),0)</f>
        <v>0</v>
      </c>
    </row>
    <row r="87" spans="1:29" x14ac:dyDescent="0.2">
      <c r="A87" s="1" t="s">
        <v>491</v>
      </c>
      <c r="B87" s="1" t="s">
        <v>499</v>
      </c>
      <c r="C87" s="1" t="s">
        <v>500</v>
      </c>
      <c r="D87" s="1">
        <v>5746</v>
      </c>
      <c r="E87" s="1">
        <v>2024</v>
      </c>
      <c r="F87" s="175">
        <f>VLOOKUP($D87,'2024Data to Complete Appendix C'!$C$8:$Q$313,2,FALSE)</f>
        <v>781</v>
      </c>
      <c r="G87" s="175">
        <f>VLOOKUP($D87,'2024Data to Complete Appendix C'!$C$8:$Q$313,3,FALSE)</f>
        <v>365</v>
      </c>
      <c r="H87" s="175">
        <f>VLOOKUP($D87,'2024Data to Complete Appendix C'!$C$8:$Q$313,4,FALSE)</f>
        <v>0</v>
      </c>
      <c r="I87" s="175">
        <f>VLOOKUP($D87,'2024Data to Complete Appendix C'!$C$8:$Q$313,5,FALSE)</f>
        <v>395</v>
      </c>
      <c r="J87" s="176">
        <f>VLOOKUP($D87,'2024Data to Complete Appendix C'!$C$8:$Q$313,6,FALSE)</f>
        <v>2.1397300000000001</v>
      </c>
      <c r="K87" s="176">
        <f>VLOOKUP($D87,'2024Data to Complete Appendix C'!$C$8:$Q$313,7,FALSE)</f>
        <v>1.95</v>
      </c>
      <c r="L87" s="176">
        <f>VLOOKUP($D87,'2024Data to Complete Appendix C'!$C$8:$Q$313,8,FALSE)</f>
        <v>1.01261</v>
      </c>
      <c r="M87" s="175">
        <f>VLOOKUP($D87,'2024Data to Complete Appendix C'!$C$8:$Q$313,9,FALSE)</f>
        <v>5.0519800000000004</v>
      </c>
      <c r="N87" s="176">
        <f>VLOOKUP($D87,'2024Data to Complete Appendix C'!$C$8:$Q$313,10,FALSE)</f>
        <v>1.36521E-2</v>
      </c>
      <c r="O87" s="177">
        <f>VLOOKUP($D87,'2024Data to Complete Appendix C'!$C$8:$Q$313,11,FALSE)</f>
        <v>0.56699999999999995</v>
      </c>
      <c r="P87" s="177">
        <f>VLOOKUP($D87,'2024Data to Complete Appendix C'!$C$8:$Q$313,12,FALSE)</f>
        <v>0.77268000000000003</v>
      </c>
      <c r="Q87" s="177">
        <f>VLOOKUP($D87,'2024Data to Complete Appendix C'!$C$8:$Q$313,13,FALSE)</f>
        <v>0.61676391200000003</v>
      </c>
      <c r="R87" s="176">
        <f>VLOOKUP($D87,'2024Data to Complete Appendix C'!$C$8:$Q$313,14,FALSE)</f>
        <v>2.2999999999999998</v>
      </c>
      <c r="S87" s="177">
        <f>VLOOKUP($D87,'2024Data to Complete Appendix C'!$C$8:$Q$313,15,FALSE)</f>
        <v>0.10650999999999999</v>
      </c>
      <c r="T87" s="175">
        <f>IFERROR(VLOOKUP($D87,'2024_Lodging_by_WUP'!$A:$D,4,FALSE),0)</f>
        <v>0</v>
      </c>
      <c r="U87" s="175">
        <f t="shared" ref="U87" si="2">IF(T87&gt;0,T87*Q87*R87,0)</f>
        <v>0</v>
      </c>
      <c r="V87" s="178">
        <f>IFERROR(VLOOKUP($D87,Total_DU!$B$5:$AB$171,24,0),0)</f>
        <v>0</v>
      </c>
      <c r="W87" s="178">
        <f>IFERROR(VLOOKUP($D87,Total_DU!$B$5:$AB$174,25,0),0)</f>
        <v>0</v>
      </c>
      <c r="X87" s="178">
        <f>IFERROR(VLOOKUP($D87,Total_DU!$B$5:$AB$174,26,0),0)</f>
        <v>0</v>
      </c>
      <c r="Y87" s="178">
        <f>IFERROR(VLOOKUP($D87,Total_DU!$B$5:$AB$174,27,0),0)</f>
        <v>0</v>
      </c>
      <c r="Z87" s="178">
        <f>IFERROR(VLOOKUP($D87,Population!$B$5:$AA$175,23,FALSE),0)</f>
        <v>0</v>
      </c>
      <c r="AA87" s="178">
        <f>IFERROR(VLOOKUP($D87,Population!$B$5:$AA$175,24,FALSE),0)</f>
        <v>0</v>
      </c>
      <c r="AB87" s="178">
        <f>IFERROR(VLOOKUP($D87,Population!$B$5:$AA$175,25,FALSE),0)</f>
        <v>0</v>
      </c>
      <c r="AC87" s="178">
        <f>IFERROR(VLOOKUP($D87,Population!$B$5:$AA$175,26,FALSE),0)</f>
        <v>0</v>
      </c>
    </row>
    <row r="88" spans="1:29" x14ac:dyDescent="0.2">
      <c r="A88" s="1" t="s">
        <v>491</v>
      </c>
      <c r="B88" s="1" t="s">
        <v>501</v>
      </c>
      <c r="C88" s="1" t="s">
        <v>502</v>
      </c>
      <c r="D88" s="1">
        <v>6151</v>
      </c>
      <c r="E88" s="1">
        <v>2024</v>
      </c>
      <c r="F88" s="175">
        <f>VLOOKUP($D88,'2024Data to Complete Appendix C'!$C$8:$Q$313,2,FALSE)</f>
        <v>44675</v>
      </c>
      <c r="G88" s="175">
        <f>VLOOKUP($D88,'2024Data to Complete Appendix C'!$C$8:$Q$313,3,FALSE)</f>
        <v>20157</v>
      </c>
      <c r="H88" s="175">
        <f>VLOOKUP($D88,'2024Data to Complete Appendix C'!$C$8:$Q$313,4,FALSE)</f>
        <v>274</v>
      </c>
      <c r="I88" s="175">
        <f>VLOOKUP($D88,'2024Data to Complete Appendix C'!$C$8:$Q$313,5,FALSE)</f>
        <v>22024</v>
      </c>
      <c r="J88" s="176">
        <f>VLOOKUP($D88,'2024Data to Complete Appendix C'!$C$8:$Q$313,6,FALSE)</f>
        <v>2.2163499999999998</v>
      </c>
      <c r="K88" s="176">
        <f>VLOOKUP($D88,'2024Data to Complete Appendix C'!$C$8:$Q$313,7,FALSE)</f>
        <v>1.95</v>
      </c>
      <c r="L88" s="176">
        <f>VLOOKUP($D88,'2024Data to Complete Appendix C'!$C$8:$Q$313,8,FALSE)</f>
        <v>1.0108900000000001</v>
      </c>
      <c r="M88" s="175">
        <f>VLOOKUP($D88,'2024Data to Complete Appendix C'!$C$8:$Q$313,9,FALSE)</f>
        <v>249.422</v>
      </c>
      <c r="N88" s="176">
        <f>VLOOKUP($D88,'2024Data to Complete Appendix C'!$C$8:$Q$313,10,FALSE)</f>
        <v>1.22227E-2</v>
      </c>
      <c r="O88" s="177">
        <f>VLOOKUP($D88,'2024Data to Complete Appendix C'!$C$8:$Q$313,11,FALSE)</f>
        <v>0.56699999999999995</v>
      </c>
      <c r="P88" s="177">
        <f>VLOOKUP($D88,'2024Data to Complete Appendix C'!$C$8:$Q$313,12,FALSE)</f>
        <v>0.77268000000000003</v>
      </c>
      <c r="Q88" s="177">
        <f>VLOOKUP($D88,'2024Data to Complete Appendix C'!$C$8:$Q$313,13,FALSE)</f>
        <v>0.61676391200000003</v>
      </c>
      <c r="R88" s="176">
        <f>VLOOKUP($D88,'2024Data to Complete Appendix C'!$C$8:$Q$313,14,FALSE)</f>
        <v>2.2999999999999998</v>
      </c>
      <c r="S88" s="177">
        <f>VLOOKUP($D88,'2024Data to Complete Appendix C'!$C$8:$Q$313,15,FALSE)</f>
        <v>-0.48288599999999998</v>
      </c>
      <c r="T88" s="175">
        <f>IFERROR(VLOOKUP($D88,'2024_Lodging_by_WUP'!$A:$D,4,FALSE),0)</f>
        <v>259</v>
      </c>
      <c r="U88" s="175">
        <f t="shared" si="1"/>
        <v>367.40626237840002</v>
      </c>
      <c r="V88" s="178">
        <f>IFERROR(VLOOKUP($D88,Total_DU!$B$5:$AB$171,24,0),0)</f>
        <v>17926</v>
      </c>
      <c r="W88" s="178">
        <f>IFERROR(VLOOKUP($D88,Total_DU!$B$5:$AB$174,25,0),0)</f>
        <v>18969</v>
      </c>
      <c r="X88" s="178">
        <f>IFERROR(VLOOKUP($D88,Total_DU!$B$5:$AB$174,26,0),0)</f>
        <v>24557</v>
      </c>
      <c r="Y88" s="178">
        <f>IFERROR(VLOOKUP($D88,Total_DU!$B$5:$AB$174,27,0),0)</f>
        <v>26842</v>
      </c>
      <c r="Z88" s="178">
        <f>IFERROR(VLOOKUP($D88,Population!$B$5:$AA$175,23,FALSE),0)</f>
        <v>40830.531219645047</v>
      </c>
      <c r="AA88" s="178">
        <f>IFERROR(VLOOKUP($D88,Population!$B$5:$AA$175,24,FALSE),0)</f>
        <v>43070</v>
      </c>
      <c r="AB88" s="178">
        <f>IFERROR(VLOOKUP($D88,Population!$B$5:$AA$175,25,FALSE),0)</f>
        <v>55809.085586268149</v>
      </c>
      <c r="AC88" s="178">
        <f>IFERROR(VLOOKUP($D88,Population!$B$5:$AA$175,26,FALSE),0)</f>
        <v>59592.432926643916</v>
      </c>
    </row>
    <row r="89" spans="1:29" x14ac:dyDescent="0.2">
      <c r="A89" s="1" t="s">
        <v>491</v>
      </c>
      <c r="B89" s="1" t="s">
        <v>503</v>
      </c>
      <c r="C89" s="1" t="s">
        <v>495</v>
      </c>
      <c r="D89" s="1">
        <v>6574</v>
      </c>
      <c r="E89" s="1">
        <v>2024</v>
      </c>
      <c r="F89" s="175">
        <f>VLOOKUP($D89,'2024Data to Complete Appendix C'!$C$8:$Q$313,2,FALSE)</f>
        <v>306</v>
      </c>
      <c r="G89" s="175">
        <f>VLOOKUP($D89,'2024Data to Complete Appendix C'!$C$8:$Q$313,3,FALSE)</f>
        <v>156</v>
      </c>
      <c r="H89" s="175">
        <f>VLOOKUP($D89,'2024Data to Complete Appendix C'!$C$8:$Q$313,4,FALSE)</f>
        <v>0</v>
      </c>
      <c r="I89" s="175">
        <f>VLOOKUP($D89,'2024Data to Complete Appendix C'!$C$8:$Q$313,5,FALSE)</f>
        <v>158</v>
      </c>
      <c r="J89" s="176">
        <f>VLOOKUP($D89,'2024Data to Complete Appendix C'!$C$8:$Q$313,6,FALSE)</f>
        <v>1.9615400000000001</v>
      </c>
      <c r="K89" s="176">
        <f>VLOOKUP($D89,'2024Data to Complete Appendix C'!$C$8:$Q$313,7,FALSE)</f>
        <v>1.95</v>
      </c>
      <c r="L89" s="176">
        <f>VLOOKUP($D89,'2024Data to Complete Appendix C'!$C$8:$Q$313,8,FALSE)</f>
        <v>1.01261</v>
      </c>
      <c r="M89" s="175">
        <f>VLOOKUP($D89,'2024Data to Complete Appendix C'!$C$8:$Q$313,9,FALSE)</f>
        <v>1.97939</v>
      </c>
      <c r="N89" s="176">
        <f>VLOOKUP($D89,'2024Data to Complete Appendix C'!$C$8:$Q$313,10,FALSE)</f>
        <v>1.25294E-2</v>
      </c>
      <c r="O89" s="177">
        <f>VLOOKUP($D89,'2024Data to Complete Appendix C'!$C$8:$Q$313,11,FALSE)</f>
        <v>0.56699999999999995</v>
      </c>
      <c r="P89" s="177">
        <f>VLOOKUP($D89,'2024Data to Complete Appendix C'!$C$8:$Q$313,12,FALSE)</f>
        <v>0.77268000000000003</v>
      </c>
      <c r="Q89" s="177">
        <f>VLOOKUP($D89,'2024Data to Complete Appendix C'!$C$8:$Q$313,13,FALSE)</f>
        <v>0.61676391200000003</v>
      </c>
      <c r="R89" s="176">
        <f>VLOOKUP($D89,'2024Data to Complete Appendix C'!$C$8:$Q$313,14,FALSE)</f>
        <v>2.2999999999999998</v>
      </c>
      <c r="S89" s="177">
        <f>VLOOKUP($D89,'2024Data to Complete Appendix C'!$C$8:$Q$313,15,FALSE)</f>
        <v>0.10650999999999999</v>
      </c>
      <c r="T89" s="175">
        <f>IFERROR(VLOOKUP($D89,'2024_Lodging_by_WUP'!$A:$D,4,FALSE),0)</f>
        <v>0</v>
      </c>
      <c r="U89" s="175">
        <f t="shared" si="1"/>
        <v>0</v>
      </c>
      <c r="V89" s="178">
        <f>IFERROR(VLOOKUP($D89,Total_DU!$B$5:$AB$171,24,0),0)</f>
        <v>0</v>
      </c>
      <c r="W89" s="178">
        <f>IFERROR(VLOOKUP($D89,Total_DU!$B$5:$AB$174,25,0),0)</f>
        <v>0</v>
      </c>
      <c r="X89" s="178">
        <f>IFERROR(VLOOKUP($D89,Total_DU!$B$5:$AB$174,26,0),0)</f>
        <v>0</v>
      </c>
      <c r="Y89" s="178">
        <f>IFERROR(VLOOKUP($D89,Total_DU!$B$5:$AB$174,27,0),0)</f>
        <v>0</v>
      </c>
      <c r="Z89" s="178">
        <f>IFERROR(VLOOKUP($D89,Population!$B$5:$AA$175,23,FALSE),0)</f>
        <v>0</v>
      </c>
      <c r="AA89" s="178">
        <f>IFERROR(VLOOKUP($D89,Population!$B$5:$AA$175,24,FALSE),0)</f>
        <v>0</v>
      </c>
      <c r="AB89" s="178">
        <f>IFERROR(VLOOKUP($D89,Population!$B$5:$AA$175,25,FALSE),0)</f>
        <v>0</v>
      </c>
      <c r="AC89" s="178">
        <f>IFERROR(VLOOKUP($D89,Population!$B$5:$AA$175,26,FALSE),0)</f>
        <v>0</v>
      </c>
    </row>
    <row r="90" spans="1:29" x14ac:dyDescent="0.2">
      <c r="A90" s="1" t="s">
        <v>491</v>
      </c>
      <c r="B90" s="1" t="s">
        <v>504</v>
      </c>
      <c r="C90" s="1" t="s">
        <v>505</v>
      </c>
      <c r="D90" s="1">
        <v>6792</v>
      </c>
      <c r="E90" s="1">
        <v>2024</v>
      </c>
      <c r="F90" s="175">
        <f>VLOOKUP($D90,'2024Data to Complete Appendix C'!$C$8:$Q$313,2,FALSE)</f>
        <v>679</v>
      </c>
      <c r="G90" s="175">
        <f>VLOOKUP($D90,'2024Data to Complete Appendix C'!$C$8:$Q$313,3,FALSE)</f>
        <v>427</v>
      </c>
      <c r="H90" s="175">
        <f>VLOOKUP($D90,'2024Data to Complete Appendix C'!$C$8:$Q$313,4,FALSE)</f>
        <v>0</v>
      </c>
      <c r="I90" s="175">
        <f>VLOOKUP($D90,'2024Data to Complete Appendix C'!$C$8:$Q$313,5,FALSE)</f>
        <v>475</v>
      </c>
      <c r="J90" s="176">
        <f>VLOOKUP($D90,'2024Data to Complete Appendix C'!$C$8:$Q$313,6,FALSE)</f>
        <v>1.59016</v>
      </c>
      <c r="K90" s="176">
        <f>VLOOKUP($D90,'2024Data to Complete Appendix C'!$C$8:$Q$313,7,FALSE)</f>
        <v>1.95</v>
      </c>
      <c r="L90" s="176">
        <f>VLOOKUP($D90,'2024Data to Complete Appendix C'!$C$8:$Q$313,8,FALSE)</f>
        <v>1.01261</v>
      </c>
      <c r="M90" s="175">
        <f>VLOOKUP($D90,'2024Data to Complete Appendix C'!$C$8:$Q$313,9,FALSE)</f>
        <v>4.3921799999999998</v>
      </c>
      <c r="N90" s="176">
        <f>VLOOKUP($D90,'2024Data to Complete Appendix C'!$C$8:$Q$313,10,FALSE)</f>
        <v>1.01814E-2</v>
      </c>
      <c r="O90" s="177">
        <f>VLOOKUP($D90,'2024Data to Complete Appendix C'!$C$8:$Q$313,11,FALSE)</f>
        <v>0.56699999999999995</v>
      </c>
      <c r="P90" s="177">
        <f>VLOOKUP($D90,'2024Data to Complete Appendix C'!$C$8:$Q$313,12,FALSE)</f>
        <v>0.77268000000000003</v>
      </c>
      <c r="Q90" s="177">
        <f>VLOOKUP($D90,'2024Data to Complete Appendix C'!$C$8:$Q$313,13,FALSE)</f>
        <v>0.61676391200000003</v>
      </c>
      <c r="R90" s="176">
        <f>VLOOKUP($D90,'2024Data to Complete Appendix C'!$C$8:$Q$313,14,FALSE)</f>
        <v>2.2999999999999998</v>
      </c>
      <c r="S90" s="177">
        <f>VLOOKUP($D90,'2024Data to Complete Appendix C'!$C$8:$Q$313,15,FALSE)</f>
        <v>0.10650999999999999</v>
      </c>
      <c r="T90" s="175">
        <f>IFERROR(VLOOKUP($D90,'2024_Lodging_by_WUP'!$A:$D,4,FALSE),0)</f>
        <v>0</v>
      </c>
      <c r="U90" s="175">
        <f t="shared" si="1"/>
        <v>0</v>
      </c>
      <c r="V90" s="178" t="str">
        <f>IFERROR(VLOOKUP($D90,Total_DU!$B$5:$AB$171,24,0),0)</f>
        <v>NA</v>
      </c>
      <c r="W90" s="178" t="str">
        <f>IFERROR(VLOOKUP($D90,Total_DU!$B$5:$AB$174,25,0),0)</f>
        <v>NA</v>
      </c>
      <c r="X90" s="178" t="str">
        <f>IFERROR(VLOOKUP($D90,Total_DU!$B$5:$AB$174,26,0),0)</f>
        <v>NA</v>
      </c>
      <c r="Y90" s="178" t="str">
        <f>IFERROR(VLOOKUP($D90,Total_DU!$B$5:$AB$174,27,0),0)</f>
        <v>NA</v>
      </c>
      <c r="Z90" s="178" t="str">
        <f>IFERROR(VLOOKUP($D90,Population!$B$5:$AA$175,23,FALSE),0)</f>
        <v>NA</v>
      </c>
      <c r="AA90" s="178" t="str">
        <f>IFERROR(VLOOKUP($D90,Population!$B$5:$AA$175,24,FALSE),0)</f>
        <v>NA</v>
      </c>
      <c r="AB90" s="178" t="str">
        <f>IFERROR(VLOOKUP($D90,Population!$B$5:$AA$175,25,FALSE),0)</f>
        <v>NA</v>
      </c>
      <c r="AC90" s="178" t="str">
        <f>IFERROR(VLOOKUP($D90,Population!$B$5:$AA$175,26,FALSE),0)</f>
        <v>NA</v>
      </c>
    </row>
    <row r="91" spans="1:29" x14ac:dyDescent="0.2">
      <c r="A91" s="1" t="s">
        <v>491</v>
      </c>
      <c r="B91" s="1" t="s">
        <v>506</v>
      </c>
      <c r="C91" s="1" t="s">
        <v>495</v>
      </c>
      <c r="D91" s="1">
        <v>7849</v>
      </c>
      <c r="E91" s="1">
        <v>2024</v>
      </c>
      <c r="F91" s="175">
        <f>VLOOKUP($D91,'2024Data to Complete Appendix C'!$C$8:$Q$313,2,FALSE)</f>
        <v>2037</v>
      </c>
      <c r="G91" s="175">
        <f>VLOOKUP($D91,'2024Data to Complete Appendix C'!$C$8:$Q$313,3,FALSE)</f>
        <v>912</v>
      </c>
      <c r="H91" s="175">
        <f>VLOOKUP($D91,'2024Data to Complete Appendix C'!$C$8:$Q$313,4,FALSE)</f>
        <v>0</v>
      </c>
      <c r="I91" s="175">
        <f>VLOOKUP($D91,'2024Data to Complete Appendix C'!$C$8:$Q$313,5,FALSE)</f>
        <v>951</v>
      </c>
      <c r="J91" s="176">
        <f>VLOOKUP($D91,'2024Data to Complete Appendix C'!$C$8:$Q$313,6,FALSE)</f>
        <v>2.2335500000000001</v>
      </c>
      <c r="K91" s="176">
        <f>VLOOKUP($D91,'2024Data to Complete Appendix C'!$C$8:$Q$313,7,FALSE)</f>
        <v>1.95</v>
      </c>
      <c r="L91" s="176">
        <f>VLOOKUP($D91,'2024Data to Complete Appendix C'!$C$8:$Q$313,8,FALSE)</f>
        <v>1.0008999999999999</v>
      </c>
      <c r="M91" s="175">
        <f>VLOOKUP($D91,'2024Data to Complete Appendix C'!$C$8:$Q$313,9,FALSE)</f>
        <v>0.94167999999999996</v>
      </c>
      <c r="N91" s="176">
        <f>VLOOKUP($D91,'2024Data to Complete Appendix C'!$C$8:$Q$313,10,FALSE)</f>
        <v>1.0315000000000001E-3</v>
      </c>
      <c r="O91" s="177">
        <f>VLOOKUP($D91,'2024Data to Complete Appendix C'!$C$8:$Q$313,11,FALSE)</f>
        <v>0.56699999999999995</v>
      </c>
      <c r="P91" s="177">
        <f>VLOOKUP($D91,'2024Data to Complete Appendix C'!$C$8:$Q$313,12,FALSE)</f>
        <v>0.77268000000000003</v>
      </c>
      <c r="Q91" s="177">
        <f>VLOOKUP($D91,'2024Data to Complete Appendix C'!$C$8:$Q$313,13,FALSE)</f>
        <v>0.61676391200000003</v>
      </c>
      <c r="R91" s="176">
        <f>VLOOKUP($D91,'2024Data to Complete Appendix C'!$C$8:$Q$313,14,FALSE)</f>
        <v>2.2999999999999998</v>
      </c>
      <c r="S91" s="177">
        <f>VLOOKUP($D91,'2024Data to Complete Appendix C'!$C$8:$Q$313,15,FALSE)</f>
        <v>-0.28263700000000003</v>
      </c>
      <c r="T91" s="175">
        <f>IFERROR(VLOOKUP($D91,'2024_Lodging_by_WUP'!$A:$D,4,FALSE),0)</f>
        <v>0</v>
      </c>
      <c r="U91" s="175">
        <f t="shared" si="1"/>
        <v>0</v>
      </c>
      <c r="V91" s="178">
        <f>IFERROR(VLOOKUP($D91,Total_DU!$B$5:$AB$171,24,0),0)</f>
        <v>480</v>
      </c>
      <c r="W91" s="178">
        <f>IFERROR(VLOOKUP($D91,Total_DU!$B$5:$AB$174,25,0),0)</f>
        <v>507</v>
      </c>
      <c r="X91" s="178" t="str">
        <f>IFERROR(VLOOKUP($D91,Total_DU!$B$5:$AB$174,26,0),0)</f>
        <v>NA</v>
      </c>
      <c r="Y91" s="178" t="str">
        <f>IFERROR(VLOOKUP($D91,Total_DU!$B$5:$AB$174,27,0),0)</f>
        <v>NA</v>
      </c>
      <c r="Z91" s="178">
        <f>IFERROR(VLOOKUP($D91,Population!$B$5:$AA$175,23,FALSE),0)</f>
        <v>1086.5760031509164</v>
      </c>
      <c r="AA91" s="178">
        <f>IFERROR(VLOOKUP($D91,Population!$B$5:$AA$175,24,FALSE),0)</f>
        <v>1148</v>
      </c>
      <c r="AB91" s="178" t="str">
        <f>IFERROR(VLOOKUP($D91,Population!$B$5:$AA$175,25,FALSE),0)</f>
        <v>NA</v>
      </c>
      <c r="AC91" s="178" t="str">
        <f>IFERROR(VLOOKUP($D91,Population!$B$5:$AA$175,26,FALSE),0)</f>
        <v>NA</v>
      </c>
    </row>
    <row r="92" spans="1:29" x14ac:dyDescent="0.2">
      <c r="A92" s="1" t="s">
        <v>491</v>
      </c>
      <c r="B92" s="1" t="s">
        <v>507</v>
      </c>
      <c r="C92" s="1" t="s">
        <v>508</v>
      </c>
      <c r="D92" s="1">
        <v>8005</v>
      </c>
      <c r="E92" s="1">
        <v>2024</v>
      </c>
      <c r="F92" s="175">
        <f>VLOOKUP($D92,'2024Data to Complete Appendix C'!$C$8:$Q$313,2,FALSE)</f>
        <v>708</v>
      </c>
      <c r="G92" s="175">
        <f>VLOOKUP($D92,'2024Data to Complete Appendix C'!$C$8:$Q$313,3,FALSE)</f>
        <v>455</v>
      </c>
      <c r="H92" s="175">
        <f>VLOOKUP($D92,'2024Data to Complete Appendix C'!$C$8:$Q$313,4,FALSE)</f>
        <v>0</v>
      </c>
      <c r="I92" s="175">
        <f>VLOOKUP($D92,'2024Data to Complete Appendix C'!$C$8:$Q$313,5,FALSE)</f>
        <v>511</v>
      </c>
      <c r="J92" s="176">
        <f>VLOOKUP($D92,'2024Data to Complete Appendix C'!$C$8:$Q$313,6,FALSE)</f>
        <v>1.5560400000000001</v>
      </c>
      <c r="K92" s="176">
        <f>VLOOKUP($D92,'2024Data to Complete Appendix C'!$C$8:$Q$313,7,FALSE)</f>
        <v>1.95</v>
      </c>
      <c r="L92" s="176">
        <f>VLOOKUP($D92,'2024Data to Complete Appendix C'!$C$8:$Q$313,8,FALSE)</f>
        <v>1.01261</v>
      </c>
      <c r="M92" s="175">
        <f>VLOOKUP($D92,'2024Data to Complete Appendix C'!$C$8:$Q$313,9,FALSE)</f>
        <v>4.5797699999999999</v>
      </c>
      <c r="N92" s="176">
        <f>VLOOKUP($D92,'2024Data to Complete Appendix C'!$C$8:$Q$313,10,FALSE)</f>
        <v>9.9650999999999993E-3</v>
      </c>
      <c r="O92" s="177">
        <f>VLOOKUP($D92,'2024Data to Complete Appendix C'!$C$8:$Q$313,11,FALSE)</f>
        <v>0.56699999999999995</v>
      </c>
      <c r="P92" s="177">
        <f>VLOOKUP($D92,'2024Data to Complete Appendix C'!$C$8:$Q$313,12,FALSE)</f>
        <v>0.77268000000000003</v>
      </c>
      <c r="Q92" s="177">
        <f>VLOOKUP($D92,'2024Data to Complete Appendix C'!$C$8:$Q$313,13,FALSE)</f>
        <v>0.61676391200000003</v>
      </c>
      <c r="R92" s="176">
        <f>VLOOKUP($D92,'2024Data to Complete Appendix C'!$C$8:$Q$313,14,FALSE)</f>
        <v>2.2999999999999998</v>
      </c>
      <c r="S92" s="177">
        <f>VLOOKUP($D92,'2024Data to Complete Appendix C'!$C$8:$Q$313,15,FALSE)</f>
        <v>0.10650999999999999</v>
      </c>
      <c r="T92" s="175">
        <f>IFERROR(VLOOKUP($D92,'2024_Lodging_by_WUP'!$A:$D,4,FALSE),0)</f>
        <v>0</v>
      </c>
      <c r="U92" s="175">
        <f t="shared" si="1"/>
        <v>0</v>
      </c>
      <c r="V92" s="178" t="str">
        <f>IFERROR(VLOOKUP($D92,Total_DU!$B$5:$AB$171,24,0),0)</f>
        <v>NA</v>
      </c>
      <c r="W92" s="178" t="str">
        <f>IFERROR(VLOOKUP($D92,Total_DU!$B$5:$AB$174,25,0),0)</f>
        <v>NA</v>
      </c>
      <c r="X92" s="178" t="str">
        <f>IFERROR(VLOOKUP($D92,Total_DU!$B$5:$AB$174,26,0),0)</f>
        <v>NA</v>
      </c>
      <c r="Y92" s="178" t="str">
        <f>IFERROR(VLOOKUP($D92,Total_DU!$B$5:$AB$174,27,0),0)</f>
        <v>NA</v>
      </c>
      <c r="Z92" s="178" t="str">
        <f>IFERROR(VLOOKUP($D92,Population!$B$5:$AA$175,23,FALSE),0)</f>
        <v>NA</v>
      </c>
      <c r="AA92" s="178" t="str">
        <f>IFERROR(VLOOKUP($D92,Population!$B$5:$AA$175,24,FALSE),0)</f>
        <v>NA</v>
      </c>
      <c r="AB92" s="178" t="str">
        <f>IFERROR(VLOOKUP($D92,Population!$B$5:$AA$175,25,FALSE),0)</f>
        <v>NA</v>
      </c>
      <c r="AC92" s="178" t="str">
        <f>IFERROR(VLOOKUP($D92,Population!$B$5:$AA$175,26,FALSE),0)</f>
        <v>NA</v>
      </c>
    </row>
    <row r="93" spans="1:29" x14ac:dyDescent="0.2">
      <c r="A93" s="1" t="s">
        <v>491</v>
      </c>
      <c r="B93" s="1" t="s">
        <v>509</v>
      </c>
      <c r="C93" s="1" t="s">
        <v>510</v>
      </c>
      <c r="D93" s="1">
        <v>8020</v>
      </c>
      <c r="E93" s="1">
        <v>2024</v>
      </c>
      <c r="F93" s="175">
        <f>VLOOKUP($D93,'2024Data to Complete Appendix C'!$C$8:$Q$313,2,FALSE)</f>
        <v>1436</v>
      </c>
      <c r="G93" s="175">
        <f>VLOOKUP($D93,'2024Data to Complete Appendix C'!$C$8:$Q$313,3,FALSE)</f>
        <v>751</v>
      </c>
      <c r="H93" s="175">
        <f>VLOOKUP($D93,'2024Data to Complete Appendix C'!$C$8:$Q$313,4,FALSE)</f>
        <v>0</v>
      </c>
      <c r="I93" s="175">
        <f>VLOOKUP($D93,'2024Data to Complete Appendix C'!$C$8:$Q$313,5,FALSE)</f>
        <v>778</v>
      </c>
      <c r="J93" s="176">
        <f>VLOOKUP($D93,'2024Data to Complete Appendix C'!$C$8:$Q$313,6,FALSE)</f>
        <v>1.91212</v>
      </c>
      <c r="K93" s="176">
        <f>VLOOKUP($D93,'2024Data to Complete Appendix C'!$C$8:$Q$313,7,FALSE)</f>
        <v>1.95</v>
      </c>
      <c r="L93" s="176">
        <f>VLOOKUP($D93,'2024Data to Complete Appendix C'!$C$8:$Q$313,8,FALSE)</f>
        <v>1</v>
      </c>
      <c r="M93" s="175">
        <f>VLOOKUP($D93,'2024Data to Complete Appendix C'!$C$8:$Q$313,9,FALSE)</f>
        <v>0</v>
      </c>
      <c r="N93" s="176">
        <f>VLOOKUP($D93,'2024Data to Complete Appendix C'!$C$8:$Q$313,10,FALSE)</f>
        <v>0</v>
      </c>
      <c r="O93" s="177">
        <f>VLOOKUP($D93,'2024Data to Complete Appendix C'!$C$8:$Q$313,11,FALSE)</f>
        <v>0.56699999999999995</v>
      </c>
      <c r="P93" s="177">
        <f>VLOOKUP($D93,'2024Data to Complete Appendix C'!$C$8:$Q$313,12,FALSE)</f>
        <v>0.77268000000000003</v>
      </c>
      <c r="Q93" s="177">
        <f>VLOOKUP($D93,'2024Data to Complete Appendix C'!$C$8:$Q$313,13,FALSE)</f>
        <v>0.61676391200000003</v>
      </c>
      <c r="R93" s="176">
        <f>VLOOKUP($D93,'2024Data to Complete Appendix C'!$C$8:$Q$313,14,FALSE)</f>
        <v>2.2999999999999998</v>
      </c>
      <c r="S93" s="177">
        <f>VLOOKUP($D93,'2024Data to Complete Appendix C'!$C$8:$Q$313,15,FALSE)</f>
        <v>-0.30264799999999997</v>
      </c>
      <c r="T93" s="175">
        <f>IFERROR(VLOOKUP($D93,'2024_Lodging_by_WUP'!$A:$D,4,FALSE),0)</f>
        <v>0</v>
      </c>
      <c r="U93" s="175">
        <f t="shared" si="1"/>
        <v>0</v>
      </c>
      <c r="V93" s="178">
        <f>IFERROR(VLOOKUP($D93,Total_DU!$B$5:$AB$171,24,0),0)</f>
        <v>598</v>
      </c>
      <c r="W93" s="178">
        <f>IFERROR(VLOOKUP($D93,Total_DU!$B$5:$AB$174,25,0),0)</f>
        <v>598</v>
      </c>
      <c r="X93" s="178">
        <f>IFERROR(VLOOKUP($D93,Total_DU!$B$5:$AB$174,26,0),0)</f>
        <v>598</v>
      </c>
      <c r="Y93" s="178">
        <f>IFERROR(VLOOKUP($D93,Total_DU!$B$5:$AB$174,27,0),0)</f>
        <v>598</v>
      </c>
      <c r="Z93" s="178">
        <f>IFERROR(VLOOKUP($D93,Population!$B$5:$AA$175,23,FALSE),0)</f>
        <v>1127.002730846405</v>
      </c>
      <c r="AA93" s="178">
        <f>IFERROR(VLOOKUP($D93,Population!$B$5:$AA$175,24,FALSE),0)</f>
        <v>1127</v>
      </c>
      <c r="AB93" s="178">
        <f>IFERROR(VLOOKUP($D93,Population!$B$5:$AA$175,25,FALSE),0)</f>
        <v>1127</v>
      </c>
      <c r="AC93" s="178">
        <f>IFERROR(VLOOKUP($D93,Population!$B$5:$AA$175,26,FALSE),0)</f>
        <v>1143.4460719041278</v>
      </c>
    </row>
    <row r="94" spans="1:29" x14ac:dyDescent="0.2">
      <c r="A94" s="1" t="s">
        <v>491</v>
      </c>
      <c r="B94" s="1" t="s">
        <v>511</v>
      </c>
      <c r="C94" s="1" t="s">
        <v>512</v>
      </c>
      <c r="D94" s="1">
        <v>8339</v>
      </c>
      <c r="E94" s="1">
        <v>2024</v>
      </c>
      <c r="F94" s="175">
        <f>VLOOKUP($D94,'2024Data to Complete Appendix C'!$C$8:$Q$313,2,FALSE)</f>
        <v>8031</v>
      </c>
      <c r="G94" s="175">
        <f>VLOOKUP($D94,'2024Data to Complete Appendix C'!$C$8:$Q$313,3,FALSE)</f>
        <v>3968</v>
      </c>
      <c r="H94" s="175">
        <f>VLOOKUP($D94,'2024Data to Complete Appendix C'!$C$8:$Q$313,4,FALSE)</f>
        <v>72</v>
      </c>
      <c r="I94" s="175">
        <f>VLOOKUP($D94,'2024Data to Complete Appendix C'!$C$8:$Q$313,5,FALSE)</f>
        <v>4719</v>
      </c>
      <c r="J94" s="176">
        <f>VLOOKUP($D94,'2024Data to Complete Appendix C'!$C$8:$Q$313,6,FALSE)</f>
        <v>2.0239400000000001</v>
      </c>
      <c r="K94" s="176">
        <f>VLOOKUP($D94,'2024Data to Complete Appendix C'!$C$8:$Q$313,7,FALSE)</f>
        <v>1.95</v>
      </c>
      <c r="L94" s="176">
        <f>VLOOKUP($D94,'2024Data to Complete Appendix C'!$C$8:$Q$313,8,FALSE)</f>
        <v>1.03182</v>
      </c>
      <c r="M94" s="175">
        <f>VLOOKUP($D94,'2024Data to Complete Appendix C'!$C$8:$Q$313,9,FALSE)</f>
        <v>131.03299999999999</v>
      </c>
      <c r="N94" s="176">
        <f>VLOOKUP($D94,'2024Data to Complete Appendix C'!$C$8:$Q$313,10,FALSE)</f>
        <v>3.1966799999999997E-2</v>
      </c>
      <c r="O94" s="177">
        <f>VLOOKUP($D94,'2024Data to Complete Appendix C'!$C$8:$Q$313,11,FALSE)</f>
        <v>0.56699999999999995</v>
      </c>
      <c r="P94" s="177">
        <f>VLOOKUP($D94,'2024Data to Complete Appendix C'!$C$8:$Q$313,12,FALSE)</f>
        <v>0.77268000000000003</v>
      </c>
      <c r="Q94" s="177">
        <f>VLOOKUP($D94,'2024Data to Complete Appendix C'!$C$8:$Q$313,13,FALSE)</f>
        <v>0.61676391200000003</v>
      </c>
      <c r="R94" s="176">
        <f>VLOOKUP($D94,'2024Data to Complete Appendix C'!$C$8:$Q$313,14,FALSE)</f>
        <v>2.2999999999999998</v>
      </c>
      <c r="S94" s="177">
        <f>VLOOKUP($D94,'2024Data to Complete Appendix C'!$C$8:$Q$313,15,FALSE)</f>
        <v>0.21192900000000001</v>
      </c>
      <c r="T94" s="175">
        <f>IFERROR(VLOOKUP($D94,'2024_Lodging_by_WUP'!$A:$D,4,FALSE),0)</f>
        <v>155</v>
      </c>
      <c r="U94" s="175">
        <f t="shared" si="1"/>
        <v>219.87633462799997</v>
      </c>
      <c r="V94" s="178">
        <f>IFERROR(VLOOKUP($D94,Total_DU!$B$5:$AB$171,24,0),0)</f>
        <v>2817</v>
      </c>
      <c r="W94" s="178">
        <f>IFERROR(VLOOKUP($D94,Total_DU!$B$5:$AB$174,25,0),0)</f>
        <v>3152</v>
      </c>
      <c r="X94" s="178">
        <f>IFERROR(VLOOKUP($D94,Total_DU!$B$5:$AB$174,26,0),0)</f>
        <v>3002</v>
      </c>
      <c r="Y94" s="178">
        <f>IFERROR(VLOOKUP($D94,Total_DU!$B$5:$AB$174,27,0),0)</f>
        <v>2867</v>
      </c>
      <c r="Z94" s="178">
        <f>IFERROR(VLOOKUP($D94,Population!$B$5:$AA$175,23,FALSE),0)</f>
        <v>6083.2020044806941</v>
      </c>
      <c r="AA94" s="178">
        <f>IFERROR(VLOOKUP($D94,Population!$B$5:$AA$175,24,FALSE),0)</f>
        <v>6704</v>
      </c>
      <c r="AB94" s="178">
        <f>IFERROR(VLOOKUP($D94,Population!$B$5:$AA$175,25,FALSE),0)</f>
        <v>6470</v>
      </c>
      <c r="AC94" s="178">
        <f>IFERROR(VLOOKUP($D94,Population!$B$5:$AA$175,26,FALSE),0)</f>
        <v>5943.6472265343855</v>
      </c>
    </row>
    <row r="95" spans="1:29" x14ac:dyDescent="0.2">
      <c r="A95" s="1" t="s">
        <v>491</v>
      </c>
      <c r="B95" s="1" t="s">
        <v>513</v>
      </c>
      <c r="C95" s="1" t="s">
        <v>495</v>
      </c>
      <c r="D95" s="1">
        <v>8481</v>
      </c>
      <c r="E95" s="1">
        <v>2024</v>
      </c>
      <c r="F95" s="175">
        <f>VLOOKUP($D95,'2024Data to Complete Appendix C'!$C$8:$Q$313,2,FALSE)</f>
        <v>9642</v>
      </c>
      <c r="G95" s="175">
        <f>VLOOKUP($D95,'2024Data to Complete Appendix C'!$C$8:$Q$313,3,FALSE)</f>
        <v>3827</v>
      </c>
      <c r="H95" s="175">
        <f>VLOOKUP($D95,'2024Data to Complete Appendix C'!$C$8:$Q$313,4,FALSE)</f>
        <v>0</v>
      </c>
      <c r="I95" s="175">
        <f>VLOOKUP($D95,'2024Data to Complete Appendix C'!$C$8:$Q$313,5,FALSE)</f>
        <v>4003</v>
      </c>
      <c r="J95" s="176">
        <f>VLOOKUP($D95,'2024Data to Complete Appendix C'!$C$8:$Q$313,6,FALSE)</f>
        <v>2.5194700000000001</v>
      </c>
      <c r="K95" s="176">
        <f>VLOOKUP($D95,'2024Data to Complete Appendix C'!$C$8:$Q$313,7,FALSE)</f>
        <v>1.95</v>
      </c>
      <c r="L95" s="176">
        <f>VLOOKUP($D95,'2024Data to Complete Appendix C'!$C$8:$Q$313,8,FALSE)</f>
        <v>1.0001599999999999</v>
      </c>
      <c r="M95" s="175">
        <f>VLOOKUP($D95,'2024Data to Complete Appendix C'!$C$8:$Q$313,9,FALSE)</f>
        <v>0.81460999999999995</v>
      </c>
      <c r="N95" s="176">
        <f>VLOOKUP($D95,'2024Data to Complete Appendix C'!$C$8:$Q$313,10,FALSE)</f>
        <v>2.128E-4</v>
      </c>
      <c r="O95" s="177">
        <f>VLOOKUP($D95,'2024Data to Complete Appendix C'!$C$8:$Q$313,11,FALSE)</f>
        <v>0.56699999999999995</v>
      </c>
      <c r="P95" s="177">
        <f>VLOOKUP($D95,'2024Data to Complete Appendix C'!$C$8:$Q$313,12,FALSE)</f>
        <v>0.77268000000000003</v>
      </c>
      <c r="Q95" s="177">
        <f>VLOOKUP($D95,'2024Data to Complete Appendix C'!$C$8:$Q$313,13,FALSE)</f>
        <v>0.61676391200000003</v>
      </c>
      <c r="R95" s="176">
        <f>VLOOKUP($D95,'2024Data to Complete Appendix C'!$C$8:$Q$313,14,FALSE)</f>
        <v>2.2999999999999998</v>
      </c>
      <c r="S95" s="177">
        <f>VLOOKUP($D95,'2024Data to Complete Appendix C'!$C$8:$Q$313,15,FALSE)</f>
        <v>-0.360041</v>
      </c>
      <c r="T95" s="175">
        <f>IFERROR(VLOOKUP($D95,'2024_Lodging_by_WUP'!$A:$D,4,FALSE),0)</f>
        <v>3</v>
      </c>
      <c r="U95" s="175">
        <f t="shared" si="1"/>
        <v>4.2556709927999998</v>
      </c>
      <c r="V95" s="178">
        <f>IFERROR(VLOOKUP($D95,Total_DU!$B$5:$AB$171,24,0),0)</f>
        <v>2764</v>
      </c>
      <c r="W95" s="178">
        <f>IFERROR(VLOOKUP($D95,Total_DU!$B$5:$AB$174,25,0),0)</f>
        <v>2912</v>
      </c>
      <c r="X95" s="178" t="str">
        <f>IFERROR(VLOOKUP($D95,Total_DU!$B$5:$AB$174,26,0),0)</f>
        <v>NA</v>
      </c>
      <c r="Y95" s="178" t="str">
        <f>IFERROR(VLOOKUP($D95,Total_DU!$B$5:$AB$174,27,0),0)</f>
        <v>NA</v>
      </c>
      <c r="Z95" s="178">
        <f>IFERROR(VLOOKUP($D95,Population!$B$5:$AA$175,23,FALSE),0)</f>
        <v>7076.5034437179565</v>
      </c>
      <c r="AA95" s="178">
        <f>IFERROR(VLOOKUP($D95,Population!$B$5:$AA$175,24,FALSE),0)</f>
        <v>7455</v>
      </c>
      <c r="AB95" s="178" t="str">
        <f>IFERROR(VLOOKUP($D95,Population!$B$5:$AA$175,25,FALSE),0)</f>
        <v>NA</v>
      </c>
      <c r="AC95" s="178" t="str">
        <f>IFERROR(VLOOKUP($D95,Population!$B$5:$AA$175,26,FALSE),0)</f>
        <v>NA</v>
      </c>
    </row>
    <row r="96" spans="1:29" x14ac:dyDescent="0.2">
      <c r="A96" s="1" t="s">
        <v>491</v>
      </c>
      <c r="B96" s="1" t="s">
        <v>514</v>
      </c>
      <c r="C96" s="1" t="s">
        <v>515</v>
      </c>
      <c r="D96" s="1">
        <v>9425</v>
      </c>
      <c r="E96" s="1">
        <v>2024</v>
      </c>
      <c r="F96" s="175">
        <f>VLOOKUP($D96,'2024Data to Complete Appendix C'!$C$8:$Q$313,2,FALSE)</f>
        <v>328</v>
      </c>
      <c r="G96" s="175">
        <f>VLOOKUP($D96,'2024Data to Complete Appendix C'!$C$8:$Q$313,3,FALSE)</f>
        <v>198</v>
      </c>
      <c r="H96" s="175">
        <f>VLOOKUP($D96,'2024Data to Complete Appendix C'!$C$8:$Q$313,4,FALSE)</f>
        <v>0</v>
      </c>
      <c r="I96" s="175">
        <f>VLOOKUP($D96,'2024Data to Complete Appendix C'!$C$8:$Q$313,5,FALSE)</f>
        <v>213</v>
      </c>
      <c r="J96" s="176">
        <f>VLOOKUP($D96,'2024Data to Complete Appendix C'!$C$8:$Q$313,6,FALSE)</f>
        <v>1.6565700000000001</v>
      </c>
      <c r="K96" s="176">
        <f>VLOOKUP($D96,'2024Data to Complete Appendix C'!$C$8:$Q$313,7,FALSE)</f>
        <v>1.95</v>
      </c>
      <c r="L96" s="176">
        <f>VLOOKUP($D96,'2024Data to Complete Appendix C'!$C$8:$Q$313,8,FALSE)</f>
        <v>1.0478799999999999</v>
      </c>
      <c r="M96" s="175">
        <f>VLOOKUP($D96,'2024Data to Complete Appendix C'!$C$8:$Q$313,9,FALSE)</f>
        <v>8.0542700000000007</v>
      </c>
      <c r="N96" s="176">
        <f>VLOOKUP($D96,'2024Data to Complete Appendix C'!$C$8:$Q$313,10,FALSE)</f>
        <v>3.9088100000000001E-2</v>
      </c>
      <c r="O96" s="177">
        <f>VLOOKUP($D96,'2024Data to Complete Appendix C'!$C$8:$Q$313,11,FALSE)</f>
        <v>0.56699999999999995</v>
      </c>
      <c r="P96" s="177">
        <f>VLOOKUP($D96,'2024Data to Complete Appendix C'!$C$8:$Q$313,12,FALSE)</f>
        <v>0.77268000000000003</v>
      </c>
      <c r="Q96" s="177">
        <f>VLOOKUP($D96,'2024Data to Complete Appendix C'!$C$8:$Q$313,13,FALSE)</f>
        <v>0.61676391200000003</v>
      </c>
      <c r="R96" s="176">
        <f>VLOOKUP($D96,'2024Data to Complete Appendix C'!$C$8:$Q$313,14,FALSE)</f>
        <v>2.2999999999999998</v>
      </c>
      <c r="S96" s="177">
        <f>VLOOKUP($D96,'2024Data to Complete Appendix C'!$C$8:$Q$313,15,FALSE)</f>
        <v>-0.49909300000000001</v>
      </c>
      <c r="T96" s="175">
        <f>IFERROR(VLOOKUP($D96,'2024_Lodging_by_WUP'!$A:$D,4,FALSE),0)</f>
        <v>0</v>
      </c>
      <c r="U96" s="175">
        <f t="shared" si="1"/>
        <v>0</v>
      </c>
      <c r="V96" s="178">
        <f>IFERROR(VLOOKUP($D96,Total_DU!$B$5:$AB$171,24,0),0)</f>
        <v>0</v>
      </c>
      <c r="W96" s="178">
        <f>IFERROR(VLOOKUP($D96,Total_DU!$B$5:$AB$174,25,0),0)</f>
        <v>0</v>
      </c>
      <c r="X96" s="178">
        <f>IFERROR(VLOOKUP($D96,Total_DU!$B$5:$AB$174,26,0),0)</f>
        <v>0</v>
      </c>
      <c r="Y96" s="178">
        <f>IFERROR(VLOOKUP($D96,Total_DU!$B$5:$AB$174,27,0),0)</f>
        <v>0</v>
      </c>
      <c r="Z96" s="178">
        <f>IFERROR(VLOOKUP($D96,Population!$B$5:$AA$175,23,FALSE),0)</f>
        <v>0</v>
      </c>
      <c r="AA96" s="178">
        <f>IFERROR(VLOOKUP($D96,Population!$B$5:$AA$175,24,FALSE),0)</f>
        <v>0</v>
      </c>
      <c r="AB96" s="178">
        <f>IFERROR(VLOOKUP($D96,Population!$B$5:$AA$175,25,FALSE),0)</f>
        <v>0</v>
      </c>
      <c r="AC96" s="178">
        <f>IFERROR(VLOOKUP($D96,Population!$B$5:$AA$175,26,FALSE),0)</f>
        <v>0</v>
      </c>
    </row>
    <row r="97" spans="1:29" x14ac:dyDescent="0.2">
      <c r="A97" s="1" t="s">
        <v>491</v>
      </c>
      <c r="B97" s="1" t="s">
        <v>516</v>
      </c>
      <c r="C97" s="1" t="s">
        <v>517</v>
      </c>
      <c r="D97" s="1">
        <v>10966</v>
      </c>
      <c r="E97" s="1">
        <v>2024</v>
      </c>
      <c r="F97" s="175">
        <f>VLOOKUP($D97,'2024Data to Complete Appendix C'!$C$8:$Q$313,2,FALSE)</f>
        <v>520</v>
      </c>
      <c r="G97" s="175">
        <f>VLOOKUP($D97,'2024Data to Complete Appendix C'!$C$8:$Q$313,3,FALSE)</f>
        <v>229</v>
      </c>
      <c r="H97" s="175">
        <f>VLOOKUP($D97,'2024Data to Complete Appendix C'!$C$8:$Q$313,4,FALSE)</f>
        <v>0</v>
      </c>
      <c r="I97" s="175">
        <f>VLOOKUP($D97,'2024Data to Complete Appendix C'!$C$8:$Q$313,5,FALSE)</f>
        <v>314</v>
      </c>
      <c r="J97" s="176">
        <f>VLOOKUP($D97,'2024Data to Complete Appendix C'!$C$8:$Q$313,6,FALSE)</f>
        <v>2.27074</v>
      </c>
      <c r="K97" s="176">
        <f>VLOOKUP($D97,'2024Data to Complete Appendix C'!$C$8:$Q$313,7,FALSE)</f>
        <v>1.95</v>
      </c>
      <c r="L97" s="176">
        <f>VLOOKUP($D97,'2024Data to Complete Appendix C'!$C$8:$Q$313,8,FALSE)</f>
        <v>1.04013</v>
      </c>
      <c r="M97" s="175">
        <f>VLOOKUP($D97,'2024Data to Complete Appendix C'!$C$8:$Q$313,9,FALSE)</f>
        <v>10.702500000000001</v>
      </c>
      <c r="N97" s="176">
        <f>VLOOKUP($D97,'2024Data to Complete Appendix C'!$C$8:$Q$313,10,FALSE)</f>
        <v>4.4648899999999998E-2</v>
      </c>
      <c r="O97" s="177">
        <f>VLOOKUP($D97,'2024Data to Complete Appendix C'!$C$8:$Q$313,11,FALSE)</f>
        <v>0.56699999999999995</v>
      </c>
      <c r="P97" s="177">
        <f>VLOOKUP($D97,'2024Data to Complete Appendix C'!$C$8:$Q$313,12,FALSE)</f>
        <v>0.77268000000000003</v>
      </c>
      <c r="Q97" s="177">
        <f>VLOOKUP($D97,'2024Data to Complete Appendix C'!$C$8:$Q$313,13,FALSE)</f>
        <v>0.61676391200000003</v>
      </c>
      <c r="R97" s="176">
        <f>VLOOKUP($D97,'2024Data to Complete Appendix C'!$C$8:$Q$313,14,FALSE)</f>
        <v>2.2999999999999998</v>
      </c>
      <c r="S97" s="177">
        <f>VLOOKUP($D97,'2024Data to Complete Appendix C'!$C$8:$Q$313,15,FALSE)</f>
        <v>0</v>
      </c>
      <c r="T97" s="175">
        <f>IFERROR(VLOOKUP($D97,'2024_Lodging_by_WUP'!$A:$D,4,FALSE),0)</f>
        <v>1</v>
      </c>
      <c r="U97" s="175">
        <f t="shared" si="1"/>
        <v>1.4185569975999999</v>
      </c>
      <c r="V97" s="178">
        <f>IFERROR(VLOOKUP($D97,Total_DU!$B$5:$AB$171,24,0),0)</f>
        <v>0</v>
      </c>
      <c r="W97" s="178">
        <f>IFERROR(VLOOKUP($D97,Total_DU!$B$5:$AB$174,25,0),0)</f>
        <v>0</v>
      </c>
      <c r="X97" s="178">
        <f>IFERROR(VLOOKUP($D97,Total_DU!$B$5:$AB$174,26,0),0)</f>
        <v>0</v>
      </c>
      <c r="Y97" s="178">
        <f>IFERROR(VLOOKUP($D97,Total_DU!$B$5:$AB$174,27,0),0)</f>
        <v>0</v>
      </c>
      <c r="Z97" s="178">
        <f>IFERROR(VLOOKUP($D97,Population!$B$5:$AA$175,23,FALSE),0)</f>
        <v>0</v>
      </c>
      <c r="AA97" s="178">
        <f>IFERROR(VLOOKUP($D97,Population!$B$5:$AA$175,24,FALSE),0)</f>
        <v>0</v>
      </c>
      <c r="AB97" s="178">
        <f>IFERROR(VLOOKUP($D97,Population!$B$5:$AA$175,25,FALSE),0)</f>
        <v>0</v>
      </c>
      <c r="AC97" s="178">
        <f>IFERROR(VLOOKUP($D97,Population!$B$5:$AA$175,26,FALSE),0)</f>
        <v>0</v>
      </c>
    </row>
    <row r="98" spans="1:29" x14ac:dyDescent="0.2">
      <c r="A98" s="1" t="s">
        <v>491</v>
      </c>
      <c r="B98" s="1" t="s">
        <v>518</v>
      </c>
      <c r="C98" s="1" t="s">
        <v>519</v>
      </c>
      <c r="D98" s="1">
        <v>20098</v>
      </c>
      <c r="E98" s="1">
        <v>2024</v>
      </c>
      <c r="F98" s="175">
        <f>VLOOKUP($D98,'2024Data to Complete Appendix C'!$C$8:$Q$313,2,FALSE)</f>
        <v>70</v>
      </c>
      <c r="G98" s="175">
        <f>VLOOKUP($D98,'2024Data to Complete Appendix C'!$C$8:$Q$313,3,FALSE)</f>
        <v>36</v>
      </c>
      <c r="H98" s="175">
        <f>VLOOKUP($D98,'2024Data to Complete Appendix C'!$C$8:$Q$313,4,FALSE)</f>
        <v>0</v>
      </c>
      <c r="I98" s="175">
        <f>VLOOKUP($D98,'2024Data to Complete Appendix C'!$C$8:$Q$313,5,FALSE)</f>
        <v>40</v>
      </c>
      <c r="J98" s="176">
        <f>VLOOKUP($D98,'2024Data to Complete Appendix C'!$C$8:$Q$313,6,FALSE)</f>
        <v>1.9444399999999999</v>
      </c>
      <c r="K98" s="176">
        <f>VLOOKUP($D98,'2024Data to Complete Appendix C'!$C$8:$Q$313,7,FALSE)</f>
        <v>1.95</v>
      </c>
      <c r="L98" s="176">
        <f>VLOOKUP($D98,'2024Data to Complete Appendix C'!$C$8:$Q$313,8,FALSE)</f>
        <v>1.03182</v>
      </c>
      <c r="M98" s="175">
        <f>VLOOKUP($D98,'2024Data to Complete Appendix C'!$C$8:$Q$313,9,FALSE)</f>
        <v>1.14211</v>
      </c>
      <c r="N98" s="176">
        <f>VLOOKUP($D98,'2024Data to Complete Appendix C'!$C$8:$Q$313,10,FALSE)</f>
        <v>3.0749800000000001E-2</v>
      </c>
      <c r="O98" s="177">
        <f>VLOOKUP($D98,'2024Data to Complete Appendix C'!$C$8:$Q$313,11,FALSE)</f>
        <v>0.56699999999999995</v>
      </c>
      <c r="P98" s="177">
        <f>VLOOKUP($D98,'2024Data to Complete Appendix C'!$C$8:$Q$313,12,FALSE)</f>
        <v>0.77268000000000003</v>
      </c>
      <c r="Q98" s="177">
        <f>VLOOKUP($D98,'2024Data to Complete Appendix C'!$C$8:$Q$313,13,FALSE)</f>
        <v>0.61676391200000003</v>
      </c>
      <c r="R98" s="176">
        <f>VLOOKUP($D98,'2024Data to Complete Appendix C'!$C$8:$Q$313,14,FALSE)</f>
        <v>2.2999999999999998</v>
      </c>
      <c r="S98" s="177">
        <f>VLOOKUP($D98,'2024Data to Complete Appendix C'!$C$8:$Q$313,15,FALSE)</f>
        <v>0.21192900000000001</v>
      </c>
      <c r="T98" s="175">
        <f>IFERROR(VLOOKUP($D98,'2024_Lodging_by_WUP'!$A:$D,4,FALSE),0)</f>
        <v>0</v>
      </c>
      <c r="U98" s="175">
        <f t="shared" si="1"/>
        <v>0</v>
      </c>
      <c r="V98" s="178">
        <f>IFERROR(VLOOKUP($D98,Total_DU!$B$5:$AB$171,24,0),0)</f>
        <v>0</v>
      </c>
      <c r="W98" s="178">
        <f>IFERROR(VLOOKUP($D98,Total_DU!$B$5:$AB$174,25,0),0)</f>
        <v>0</v>
      </c>
      <c r="X98" s="178">
        <f>IFERROR(VLOOKUP($D98,Total_DU!$B$5:$AB$174,26,0),0)</f>
        <v>0</v>
      </c>
      <c r="Y98" s="178">
        <f>IFERROR(VLOOKUP($D98,Total_DU!$B$5:$AB$174,27,0),0)</f>
        <v>0</v>
      </c>
      <c r="Z98" s="178">
        <f>IFERROR(VLOOKUP($D98,Population!$B$5:$AA$175,23,FALSE),0)</f>
        <v>0</v>
      </c>
      <c r="AA98" s="178">
        <f>IFERROR(VLOOKUP($D98,Population!$B$5:$AA$175,24,FALSE),0)</f>
        <v>0</v>
      </c>
      <c r="AB98" s="178">
        <f>IFERROR(VLOOKUP($D98,Population!$B$5:$AA$175,25,FALSE),0)</f>
        <v>0</v>
      </c>
      <c r="AC98" s="178">
        <f>IFERROR(VLOOKUP($D98,Population!$B$5:$AA$175,26,FALSE),0)</f>
        <v>0</v>
      </c>
    </row>
    <row r="99" spans="1:29" x14ac:dyDescent="0.2">
      <c r="A99" s="1" t="s">
        <v>491</v>
      </c>
      <c r="B99" s="1" t="s">
        <v>520</v>
      </c>
      <c r="C99" s="1" t="s">
        <v>512</v>
      </c>
      <c r="D99" s="1">
        <v>20213</v>
      </c>
      <c r="E99" s="1">
        <v>2024</v>
      </c>
      <c r="F99" s="175">
        <f>VLOOKUP($D99,'2024Data to Complete Appendix C'!$C$8:$Q$313,2,FALSE)</f>
        <v>332</v>
      </c>
      <c r="G99" s="175">
        <f>VLOOKUP($D99,'2024Data to Complete Appendix C'!$C$8:$Q$313,3,FALSE)</f>
        <v>168</v>
      </c>
      <c r="H99" s="175">
        <f>VLOOKUP($D99,'2024Data to Complete Appendix C'!$C$8:$Q$313,4,FALSE)</f>
        <v>0</v>
      </c>
      <c r="I99" s="175">
        <f>VLOOKUP($D99,'2024Data to Complete Appendix C'!$C$8:$Q$313,5,FALSE)</f>
        <v>168</v>
      </c>
      <c r="J99" s="176">
        <f>VLOOKUP($D99,'2024Data to Complete Appendix C'!$C$8:$Q$313,6,FALSE)</f>
        <v>1.9761899999999999</v>
      </c>
      <c r="K99" s="176">
        <f>VLOOKUP($D99,'2024Data to Complete Appendix C'!$C$8:$Q$313,7,FALSE)</f>
        <v>1.95</v>
      </c>
      <c r="L99" s="176">
        <f>VLOOKUP($D99,'2024Data to Complete Appendix C'!$C$8:$Q$313,8,FALSE)</f>
        <v>1.03182</v>
      </c>
      <c r="M99" s="175">
        <f>VLOOKUP($D99,'2024Data to Complete Appendix C'!$C$8:$Q$313,9,FALSE)</f>
        <v>5.4168799999999999</v>
      </c>
      <c r="N99" s="176">
        <f>VLOOKUP($D99,'2024Data to Complete Appendix C'!$C$8:$Q$313,10,FALSE)</f>
        <v>3.1236199999999999E-2</v>
      </c>
      <c r="O99" s="177">
        <f>VLOOKUP($D99,'2024Data to Complete Appendix C'!$C$8:$Q$313,11,FALSE)</f>
        <v>0.56699999999999995</v>
      </c>
      <c r="P99" s="177">
        <f>VLOOKUP($D99,'2024Data to Complete Appendix C'!$C$8:$Q$313,12,FALSE)</f>
        <v>0.77268000000000003</v>
      </c>
      <c r="Q99" s="177">
        <f>VLOOKUP($D99,'2024Data to Complete Appendix C'!$C$8:$Q$313,13,FALSE)</f>
        <v>0.61676391200000003</v>
      </c>
      <c r="R99" s="176">
        <f>VLOOKUP($D99,'2024Data to Complete Appendix C'!$C$8:$Q$313,14,FALSE)</f>
        <v>2.2999999999999998</v>
      </c>
      <c r="S99" s="177">
        <f>VLOOKUP($D99,'2024Data to Complete Appendix C'!$C$8:$Q$313,15,FALSE)</f>
        <v>0.21192900000000001</v>
      </c>
      <c r="T99" s="175">
        <f>IFERROR(VLOOKUP($D99,'2024_Lodging_by_WUP'!$A:$D,4,FALSE),0)</f>
        <v>2</v>
      </c>
      <c r="U99" s="175">
        <f t="shared" si="1"/>
        <v>2.8371139951999997</v>
      </c>
      <c r="V99" s="178">
        <f>IFERROR(VLOOKUP($D99,Total_DU!$B$5:$AB$171,24,0),0)</f>
        <v>0</v>
      </c>
      <c r="W99" s="178">
        <f>IFERROR(VLOOKUP($D99,Total_DU!$B$5:$AB$174,25,0),0)</f>
        <v>0</v>
      </c>
      <c r="X99" s="178">
        <f>IFERROR(VLOOKUP($D99,Total_DU!$B$5:$AB$174,26,0),0)</f>
        <v>0</v>
      </c>
      <c r="Y99" s="178">
        <f>IFERROR(VLOOKUP($D99,Total_DU!$B$5:$AB$174,27,0),0)</f>
        <v>0</v>
      </c>
      <c r="Z99" s="178">
        <f>IFERROR(VLOOKUP($D99,Population!$B$5:$AA$175,23,FALSE),0)</f>
        <v>0</v>
      </c>
      <c r="AA99" s="178">
        <f>IFERROR(VLOOKUP($D99,Population!$B$5:$AA$175,24,FALSE),0)</f>
        <v>0</v>
      </c>
      <c r="AB99" s="178">
        <f>IFERROR(VLOOKUP($D99,Population!$B$5:$AA$175,25,FALSE),0)</f>
        <v>0</v>
      </c>
      <c r="AC99" s="178">
        <f>IFERROR(VLOOKUP($D99,Population!$B$5:$AA$175,26,FALSE),0)</f>
        <v>0</v>
      </c>
    </row>
    <row r="100" spans="1:29" x14ac:dyDescent="0.2">
      <c r="A100" s="1" t="s">
        <v>521</v>
      </c>
      <c r="B100" s="1" t="s">
        <v>522</v>
      </c>
      <c r="C100" s="1" t="s">
        <v>523</v>
      </c>
      <c r="D100" s="1">
        <v>279</v>
      </c>
      <c r="E100" s="1">
        <v>2024</v>
      </c>
      <c r="F100" s="175">
        <f>VLOOKUP($D100,'2024Data to Complete Appendix C'!$C$8:$Q$313,2,FALSE)</f>
        <v>4804</v>
      </c>
      <c r="G100" s="175">
        <f>VLOOKUP($D100,'2024Data to Complete Appendix C'!$C$8:$Q$313,3,FALSE)</f>
        <v>1935</v>
      </c>
      <c r="H100" s="175">
        <f>VLOOKUP($D100,'2024Data to Complete Appendix C'!$C$8:$Q$313,4,FALSE)</f>
        <v>0</v>
      </c>
      <c r="I100" s="175">
        <f>VLOOKUP($D100,'2024Data to Complete Appendix C'!$C$8:$Q$313,5,FALSE)</f>
        <v>2079</v>
      </c>
      <c r="J100" s="176">
        <f>VLOOKUP($D100,'2024Data to Complete Appendix C'!$C$8:$Q$313,6,FALSE)</f>
        <v>2.4826899999999998</v>
      </c>
      <c r="K100" s="176">
        <f>VLOOKUP($D100,'2024Data to Complete Appendix C'!$C$8:$Q$313,7,FALSE)</f>
        <v>1.95</v>
      </c>
      <c r="L100" s="176">
        <f>VLOOKUP($D100,'2024Data to Complete Appendix C'!$C$8:$Q$313,8,FALSE)</f>
        <v>1.0723400000000001</v>
      </c>
      <c r="M100" s="175">
        <f>VLOOKUP($D100,'2024Data to Complete Appendix C'!$C$8:$Q$313,9,FALSE)</f>
        <v>178.21299999999999</v>
      </c>
      <c r="N100" s="176">
        <f>VLOOKUP($D100,'2024Data to Complete Appendix C'!$C$8:$Q$313,10,FALSE)</f>
        <v>8.4332799999999999E-2</v>
      </c>
      <c r="O100" s="177">
        <f>VLOOKUP($D100,'2024Data to Complete Appendix C'!$C$8:$Q$313,11,FALSE)</f>
        <v>0.56699999999999995</v>
      </c>
      <c r="P100" s="177">
        <f>VLOOKUP($D100,'2024Data to Complete Appendix C'!$C$8:$Q$313,12,FALSE)</f>
        <v>0.77268000000000003</v>
      </c>
      <c r="Q100" s="177">
        <f>VLOOKUP($D100,'2024Data to Complete Appendix C'!$C$8:$Q$313,13,FALSE)</f>
        <v>0.63540872599999998</v>
      </c>
      <c r="R100" s="176">
        <f>VLOOKUP($D100,'2024Data to Complete Appendix C'!$C$8:$Q$313,14,FALSE)</f>
        <v>2.2999999999999998</v>
      </c>
      <c r="S100" s="177">
        <f>VLOOKUP($D100,'2024Data to Complete Appendix C'!$C$8:$Q$313,15,FALSE)</f>
        <v>-0.68358699999999994</v>
      </c>
      <c r="T100" s="175">
        <f>IFERROR(VLOOKUP($D100,'2024_Lodging_by_WUP'!$A:$D,4,FALSE),0)</f>
        <v>1</v>
      </c>
      <c r="U100" s="175">
        <f t="shared" si="1"/>
        <v>1.4614400697999999</v>
      </c>
      <c r="V100" s="178">
        <f>IFERROR(VLOOKUP($D100,Total_DU!$B$5:$AB$171,24,0),0)</f>
        <v>1604</v>
      </c>
      <c r="W100" s="178">
        <f>IFERROR(VLOOKUP($D100,Total_DU!$B$5:$AB$174,25,0),0)</f>
        <v>1778</v>
      </c>
      <c r="X100" s="178">
        <f>IFERROR(VLOOKUP($D100,Total_DU!$B$5:$AB$174,26,0),0)</f>
        <v>1646</v>
      </c>
      <c r="Y100" s="178">
        <f>IFERROR(VLOOKUP($D100,Total_DU!$B$5:$AB$174,27,0),0)</f>
        <v>1641</v>
      </c>
      <c r="Z100" s="178">
        <f>IFERROR(VLOOKUP($D100,Population!$B$5:$AA$175,23,FALSE),0)</f>
        <v>3703.409982915121</v>
      </c>
      <c r="AA100" s="178">
        <f>IFERROR(VLOOKUP($D100,Population!$B$5:$AA$175,24,FALSE),0)</f>
        <v>4105</v>
      </c>
      <c r="AB100" s="178">
        <f>IFERROR(VLOOKUP($D100,Population!$B$5:$AA$175,25,FALSE),0)</f>
        <v>3801</v>
      </c>
      <c r="AC100" s="178">
        <f>IFERROR(VLOOKUP($D100,Population!$B$5:$AA$175,26,FALSE),0)</f>
        <v>3940.736361741735</v>
      </c>
    </row>
    <row r="101" spans="1:29" x14ac:dyDescent="0.2">
      <c r="A101" s="1" t="s">
        <v>521</v>
      </c>
      <c r="B101" s="1" t="s">
        <v>524</v>
      </c>
      <c r="C101" s="1" t="s">
        <v>525</v>
      </c>
      <c r="D101" s="1">
        <v>540</v>
      </c>
      <c r="E101" s="1">
        <v>2024</v>
      </c>
      <c r="F101" s="175">
        <f>VLOOKUP($D101,'2024Data to Complete Appendix C'!$C$8:$Q$313,2,FALSE)</f>
        <v>1488</v>
      </c>
      <c r="G101" s="175">
        <f>VLOOKUP($D101,'2024Data to Complete Appendix C'!$C$8:$Q$313,3,FALSE)</f>
        <v>612</v>
      </c>
      <c r="H101" s="175">
        <f>VLOOKUP($D101,'2024Data to Complete Appendix C'!$C$8:$Q$313,4,FALSE)</f>
        <v>0</v>
      </c>
      <c r="I101" s="175">
        <f>VLOOKUP($D101,'2024Data to Complete Appendix C'!$C$8:$Q$313,5,FALSE)</f>
        <v>736</v>
      </c>
      <c r="J101" s="176">
        <f>VLOOKUP($D101,'2024Data to Complete Appendix C'!$C$8:$Q$313,6,FALSE)</f>
        <v>2.4313699999999998</v>
      </c>
      <c r="K101" s="176">
        <f>VLOOKUP($D101,'2024Data to Complete Appendix C'!$C$8:$Q$313,7,FALSE)</f>
        <v>1.95</v>
      </c>
      <c r="L101" s="176">
        <f>VLOOKUP($D101,'2024Data to Complete Appendix C'!$C$8:$Q$313,8,FALSE)</f>
        <v>1.13453</v>
      </c>
      <c r="M101" s="175">
        <f>VLOOKUP($D101,'2024Data to Complete Appendix C'!$C$8:$Q$313,9,FALSE)</f>
        <v>102.66</v>
      </c>
      <c r="N101" s="176">
        <f>VLOOKUP($D101,'2024Data to Complete Appendix C'!$C$8:$Q$313,10,FALSE)</f>
        <v>0.143649</v>
      </c>
      <c r="O101" s="177">
        <f>VLOOKUP($D101,'2024Data to Complete Appendix C'!$C$8:$Q$313,11,FALSE)</f>
        <v>0.56699999999999995</v>
      </c>
      <c r="P101" s="177">
        <f>VLOOKUP($D101,'2024Data to Complete Appendix C'!$C$8:$Q$313,12,FALSE)</f>
        <v>0.77268000000000003</v>
      </c>
      <c r="Q101" s="177">
        <f>VLOOKUP($D101,'2024Data to Complete Appendix C'!$C$8:$Q$313,13,FALSE)</f>
        <v>0.63540872599999998</v>
      </c>
      <c r="R101" s="176">
        <f>VLOOKUP($D101,'2024Data to Complete Appendix C'!$C$8:$Q$313,14,FALSE)</f>
        <v>2.2999999999999998</v>
      </c>
      <c r="S101" s="177">
        <f>VLOOKUP($D101,'2024Data to Complete Appendix C'!$C$8:$Q$313,15,FALSE)</f>
        <v>-0.427481</v>
      </c>
      <c r="T101" s="175">
        <f>IFERROR(VLOOKUP($D101,'2024_Lodging_by_WUP'!$A:$D,4,FALSE),0)</f>
        <v>0</v>
      </c>
      <c r="U101" s="175">
        <f t="shared" si="1"/>
        <v>0</v>
      </c>
      <c r="V101" s="178" t="str">
        <f>IFERROR(VLOOKUP($D101,Total_DU!$B$5:$AB$171,24,0),0)</f>
        <v>NA</v>
      </c>
      <c r="W101" s="178" t="str">
        <f>IFERROR(VLOOKUP($D101,Total_DU!$B$5:$AB$174,25,0),0)</f>
        <v>NA</v>
      </c>
      <c r="X101" s="178" t="str">
        <f>IFERROR(VLOOKUP($D101,Total_DU!$B$5:$AB$174,26,0),0)</f>
        <v>NA</v>
      </c>
      <c r="Y101" s="178" t="str">
        <f>IFERROR(VLOOKUP($D101,Total_DU!$B$5:$AB$174,27,0),0)</f>
        <v>NA</v>
      </c>
      <c r="Z101" s="178" t="str">
        <f>IFERROR(VLOOKUP($D101,Population!$B$5:$AA$175,23,FALSE),0)</f>
        <v>NA</v>
      </c>
      <c r="AA101" s="178" t="str">
        <f>IFERROR(VLOOKUP($D101,Population!$B$5:$AA$175,24,FALSE),0)</f>
        <v>NA</v>
      </c>
      <c r="AB101" s="178" t="str">
        <f>IFERROR(VLOOKUP($D101,Population!$B$5:$AA$175,25,FALSE),0)</f>
        <v>NA</v>
      </c>
      <c r="AC101" s="178" t="str">
        <f>IFERROR(VLOOKUP($D101,Population!$B$5:$AA$175,26,FALSE),0)</f>
        <v>NA</v>
      </c>
    </row>
    <row r="102" spans="1:29" x14ac:dyDescent="0.2">
      <c r="A102" s="1" t="s">
        <v>521</v>
      </c>
      <c r="B102" s="1" t="s">
        <v>526</v>
      </c>
      <c r="C102" s="1" t="s">
        <v>527</v>
      </c>
      <c r="D102" s="1">
        <v>543</v>
      </c>
      <c r="E102" s="1">
        <v>2024</v>
      </c>
      <c r="F102" s="175">
        <f>VLOOKUP($D102,'2024Data to Complete Appendix C'!$C$8:$Q$313,2,FALSE)</f>
        <v>1839</v>
      </c>
      <c r="G102" s="175">
        <f>VLOOKUP($D102,'2024Data to Complete Appendix C'!$C$8:$Q$313,3,FALSE)</f>
        <v>817</v>
      </c>
      <c r="H102" s="175">
        <f>VLOOKUP($D102,'2024Data to Complete Appendix C'!$C$8:$Q$313,4,FALSE)</f>
        <v>0</v>
      </c>
      <c r="I102" s="175">
        <f>VLOOKUP($D102,'2024Data to Complete Appendix C'!$C$8:$Q$313,5,FALSE)</f>
        <v>1034</v>
      </c>
      <c r="J102" s="176">
        <f>VLOOKUP($D102,'2024Data to Complete Appendix C'!$C$8:$Q$313,6,FALSE)</f>
        <v>2.2509199999999998</v>
      </c>
      <c r="K102" s="176">
        <f>VLOOKUP($D102,'2024Data to Complete Appendix C'!$C$8:$Q$313,7,FALSE)</f>
        <v>1.95</v>
      </c>
      <c r="L102" s="176">
        <f>VLOOKUP($D102,'2024Data to Complete Appendix C'!$C$8:$Q$313,8,FALSE)</f>
        <v>1.13453</v>
      </c>
      <c r="M102" s="175">
        <f>VLOOKUP($D102,'2024Data to Complete Appendix C'!$C$8:$Q$313,9,FALSE)</f>
        <v>126.876</v>
      </c>
      <c r="N102" s="176">
        <f>VLOOKUP($D102,'2024Data to Complete Appendix C'!$C$8:$Q$313,10,FALSE)</f>
        <v>0.13442000000000001</v>
      </c>
      <c r="O102" s="177">
        <f>VLOOKUP($D102,'2024Data to Complete Appendix C'!$C$8:$Q$313,11,FALSE)</f>
        <v>0.56699999999999995</v>
      </c>
      <c r="P102" s="177">
        <f>VLOOKUP($D102,'2024Data to Complete Appendix C'!$C$8:$Q$313,12,FALSE)</f>
        <v>0.77268000000000003</v>
      </c>
      <c r="Q102" s="177">
        <f>VLOOKUP($D102,'2024Data to Complete Appendix C'!$C$8:$Q$313,13,FALSE)</f>
        <v>0.63540872599999998</v>
      </c>
      <c r="R102" s="176">
        <f>VLOOKUP($D102,'2024Data to Complete Appendix C'!$C$8:$Q$313,14,FALSE)</f>
        <v>2.2999999999999998</v>
      </c>
      <c r="S102" s="177">
        <f>VLOOKUP($D102,'2024Data to Complete Appendix C'!$C$8:$Q$313,15,FALSE)</f>
        <v>-0.18881300000000001</v>
      </c>
      <c r="T102" s="175">
        <f>IFERROR(VLOOKUP($D102,'2024_Lodging_by_WUP'!$A:$D,4,FALSE),0)</f>
        <v>0</v>
      </c>
      <c r="U102" s="175">
        <f t="shared" si="1"/>
        <v>0</v>
      </c>
      <c r="V102" s="178" t="str">
        <f>IFERROR(VLOOKUP($D102,Total_DU!$B$5:$AB$171,24,0),0)</f>
        <v>NA</v>
      </c>
      <c r="W102" s="178" t="str">
        <f>IFERROR(VLOOKUP($D102,Total_DU!$B$5:$AB$174,25,0),0)</f>
        <v>NA</v>
      </c>
      <c r="X102" s="178" t="str">
        <f>IFERROR(VLOOKUP($D102,Total_DU!$B$5:$AB$174,26,0),0)</f>
        <v>NA</v>
      </c>
      <c r="Y102" s="178" t="str">
        <f>IFERROR(VLOOKUP($D102,Total_DU!$B$5:$AB$174,27,0),0)</f>
        <v>NA</v>
      </c>
      <c r="Z102" s="178" t="str">
        <f>IFERROR(VLOOKUP($D102,Population!$B$5:$AA$175,23,FALSE),0)</f>
        <v>NA</v>
      </c>
      <c r="AA102" s="178" t="str">
        <f>IFERROR(VLOOKUP($D102,Population!$B$5:$AA$175,24,FALSE),0)</f>
        <v>NA</v>
      </c>
      <c r="AB102" s="178" t="str">
        <f>IFERROR(VLOOKUP($D102,Population!$B$5:$AA$175,25,FALSE),0)</f>
        <v>NA</v>
      </c>
      <c r="AC102" s="178" t="str">
        <f>IFERROR(VLOOKUP($D102,Population!$B$5:$AA$175,26,FALSE),0)</f>
        <v>NA</v>
      </c>
    </row>
    <row r="103" spans="1:29" x14ac:dyDescent="0.2">
      <c r="A103" s="1" t="s">
        <v>521</v>
      </c>
      <c r="B103" s="1" t="s">
        <v>528</v>
      </c>
      <c r="C103" s="1" t="s">
        <v>523</v>
      </c>
      <c r="D103" s="1">
        <v>590</v>
      </c>
      <c r="E103" s="1">
        <v>2024</v>
      </c>
      <c r="F103" s="175">
        <f>VLOOKUP($D103,'2024Data to Complete Appendix C'!$C$8:$Q$313,2,FALSE)</f>
        <v>11632</v>
      </c>
      <c r="G103" s="175">
        <f>VLOOKUP($D103,'2024Data to Complete Appendix C'!$C$8:$Q$313,3,FALSE)</f>
        <v>4602</v>
      </c>
      <c r="H103" s="175">
        <f>VLOOKUP($D103,'2024Data to Complete Appendix C'!$C$8:$Q$313,4,FALSE)</f>
        <v>72</v>
      </c>
      <c r="I103" s="175">
        <f>VLOOKUP($D103,'2024Data to Complete Appendix C'!$C$8:$Q$313,5,FALSE)</f>
        <v>4840</v>
      </c>
      <c r="J103" s="176">
        <f>VLOOKUP($D103,'2024Data to Complete Appendix C'!$C$8:$Q$313,6,FALSE)</f>
        <v>2.5276000000000001</v>
      </c>
      <c r="K103" s="176">
        <f>VLOOKUP($D103,'2024Data to Complete Appendix C'!$C$8:$Q$313,7,FALSE)</f>
        <v>1.95</v>
      </c>
      <c r="L103" s="176">
        <f>VLOOKUP($D103,'2024Data to Complete Appendix C'!$C$8:$Q$313,8,FALSE)</f>
        <v>1.01614</v>
      </c>
      <c r="M103" s="175">
        <f>VLOOKUP($D103,'2024Data to Complete Appendix C'!$C$8:$Q$313,9,FALSE)</f>
        <v>96.279899999999998</v>
      </c>
      <c r="N103" s="176">
        <f>VLOOKUP($D103,'2024Data to Complete Appendix C'!$C$8:$Q$313,10,FALSE)</f>
        <v>2.04926E-2</v>
      </c>
      <c r="O103" s="177">
        <f>VLOOKUP($D103,'2024Data to Complete Appendix C'!$C$8:$Q$313,11,FALSE)</f>
        <v>0.56699999999999995</v>
      </c>
      <c r="P103" s="177">
        <f>VLOOKUP($D103,'2024Data to Complete Appendix C'!$C$8:$Q$313,12,FALSE)</f>
        <v>0.77268000000000003</v>
      </c>
      <c r="Q103" s="177">
        <f>VLOOKUP($D103,'2024Data to Complete Appendix C'!$C$8:$Q$313,13,FALSE)</f>
        <v>0.63540872599999998</v>
      </c>
      <c r="R103" s="176">
        <f>VLOOKUP($D103,'2024Data to Complete Appendix C'!$C$8:$Q$313,14,FALSE)</f>
        <v>2.2999999999999998</v>
      </c>
      <c r="S103" s="177">
        <f>VLOOKUP($D103,'2024Data to Complete Appendix C'!$C$8:$Q$313,15,FALSE)</f>
        <v>-0.40405200000000002</v>
      </c>
      <c r="T103" s="175">
        <f>IFERROR(VLOOKUP($D103,'2024_Lodging_by_WUP'!$A:$D,4,FALSE),0)</f>
        <v>2</v>
      </c>
      <c r="U103" s="175">
        <f t="shared" si="1"/>
        <v>2.9228801395999997</v>
      </c>
      <c r="V103" s="178">
        <f>IFERROR(VLOOKUP($D103,Total_DU!$B$5:$AB$171,24,0),0)</f>
        <v>3171</v>
      </c>
      <c r="W103" s="178">
        <f>IFERROR(VLOOKUP($D103,Total_DU!$B$5:$AB$174,25,0),0)</f>
        <v>3178</v>
      </c>
      <c r="X103" s="178">
        <f>IFERROR(VLOOKUP($D103,Total_DU!$B$5:$AB$174,26,0),0)</f>
        <v>3314</v>
      </c>
      <c r="Y103" s="178">
        <f>IFERROR(VLOOKUP($D103,Total_DU!$B$5:$AB$174,27,0),0)</f>
        <v>3177</v>
      </c>
      <c r="Z103" s="178">
        <f>IFERROR(VLOOKUP($D103,Population!$B$5:$AA$175,23,FALSE),0)</f>
        <v>8366.4084289958373</v>
      </c>
      <c r="AA103" s="178">
        <f>IFERROR(VLOOKUP($D103,Population!$B$5:$AA$175,24,FALSE),0)</f>
        <v>8385</v>
      </c>
      <c r="AB103" s="178">
        <f>IFERROR(VLOOKUP($D103,Population!$B$5:$AA$175,25,FALSE),0)</f>
        <v>8745</v>
      </c>
      <c r="AC103" s="178">
        <f>IFERROR(VLOOKUP($D103,Population!$B$5:$AA$175,26,FALSE),0)</f>
        <v>8014.393852171027</v>
      </c>
    </row>
    <row r="104" spans="1:29" x14ac:dyDescent="0.2">
      <c r="A104" s="1" t="s">
        <v>521</v>
      </c>
      <c r="B104" s="1" t="s">
        <v>529</v>
      </c>
      <c r="C104" s="1" t="s">
        <v>530</v>
      </c>
      <c r="D104" s="1">
        <v>923</v>
      </c>
      <c r="E104" s="1">
        <v>2024</v>
      </c>
      <c r="F104" s="175">
        <f>VLOOKUP($D104,'2024Data to Complete Appendix C'!$C$8:$Q$313,2,FALSE)</f>
        <v>499</v>
      </c>
      <c r="G104" s="175">
        <f>VLOOKUP($D104,'2024Data to Complete Appendix C'!$C$8:$Q$313,3,FALSE)</f>
        <v>234</v>
      </c>
      <c r="H104" s="175">
        <f>VLOOKUP($D104,'2024Data to Complete Appendix C'!$C$8:$Q$313,4,FALSE)</f>
        <v>0</v>
      </c>
      <c r="I104" s="175">
        <f>VLOOKUP($D104,'2024Data to Complete Appendix C'!$C$8:$Q$313,5,FALSE)</f>
        <v>295</v>
      </c>
      <c r="J104" s="176">
        <f>VLOOKUP($D104,'2024Data to Complete Appendix C'!$C$8:$Q$313,6,FALSE)</f>
        <v>2.1324800000000002</v>
      </c>
      <c r="K104" s="176">
        <f>VLOOKUP($D104,'2024Data to Complete Appendix C'!$C$8:$Q$313,7,FALSE)</f>
        <v>1.95</v>
      </c>
      <c r="L104" s="176">
        <f>VLOOKUP($D104,'2024Data to Complete Appendix C'!$C$8:$Q$313,8,FALSE)</f>
        <v>1.09839</v>
      </c>
      <c r="M104" s="175">
        <f>VLOOKUP($D104,'2024Data to Complete Appendix C'!$C$8:$Q$313,9,FALSE)</f>
        <v>25.1783</v>
      </c>
      <c r="N104" s="176">
        <f>VLOOKUP($D104,'2024Data to Complete Appendix C'!$C$8:$Q$313,10,FALSE)</f>
        <v>9.71466E-2</v>
      </c>
      <c r="O104" s="177">
        <f>VLOOKUP($D104,'2024Data to Complete Appendix C'!$C$8:$Q$313,11,FALSE)</f>
        <v>0.56699999999999995</v>
      </c>
      <c r="P104" s="177">
        <f>VLOOKUP($D104,'2024Data to Complete Appendix C'!$C$8:$Q$313,12,FALSE)</f>
        <v>0.77268000000000003</v>
      </c>
      <c r="Q104" s="177">
        <f>VLOOKUP($D104,'2024Data to Complete Appendix C'!$C$8:$Q$313,13,FALSE)</f>
        <v>0.63540872599999998</v>
      </c>
      <c r="R104" s="176">
        <f>VLOOKUP($D104,'2024Data to Complete Appendix C'!$C$8:$Q$313,14,FALSE)</f>
        <v>2.2999999999999998</v>
      </c>
      <c r="S104" s="177">
        <f>VLOOKUP($D104,'2024Data to Complete Appendix C'!$C$8:$Q$313,15,FALSE)</f>
        <v>-0.96679700000000002</v>
      </c>
      <c r="T104" s="175">
        <f>IFERROR(VLOOKUP($D104,'2024_Lodging_by_WUP'!$A:$D,4,FALSE),0)</f>
        <v>0</v>
      </c>
      <c r="U104" s="175">
        <f t="shared" si="1"/>
        <v>0</v>
      </c>
      <c r="V104" s="178">
        <f>IFERROR(VLOOKUP($D104,Total_DU!$B$5:$AB$171,24,0),0)</f>
        <v>0</v>
      </c>
      <c r="W104" s="178">
        <f>IFERROR(VLOOKUP($D104,Total_DU!$B$5:$AB$174,25,0),0)</f>
        <v>0</v>
      </c>
      <c r="X104" s="178">
        <f>IFERROR(VLOOKUP($D104,Total_DU!$B$5:$AB$174,26,0),0)</f>
        <v>0</v>
      </c>
      <c r="Y104" s="178">
        <f>IFERROR(VLOOKUP($D104,Total_DU!$B$5:$AB$174,27,0),0)</f>
        <v>0</v>
      </c>
      <c r="Z104" s="178">
        <f>IFERROR(VLOOKUP($D104,Population!$B$5:$AA$175,23,FALSE),0)</f>
        <v>0</v>
      </c>
      <c r="AA104" s="178">
        <f>IFERROR(VLOOKUP($D104,Population!$B$5:$AA$175,24,FALSE),0)</f>
        <v>0</v>
      </c>
      <c r="AB104" s="178">
        <f>IFERROR(VLOOKUP($D104,Population!$B$5:$AA$175,25,FALSE),0)</f>
        <v>0</v>
      </c>
      <c r="AC104" s="178">
        <f>IFERROR(VLOOKUP($D104,Population!$B$5:$AA$175,26,FALSE),0)</f>
        <v>0</v>
      </c>
    </row>
    <row r="105" spans="1:29" x14ac:dyDescent="0.2">
      <c r="A105" s="1" t="s">
        <v>521</v>
      </c>
      <c r="B105" s="1" t="s">
        <v>531</v>
      </c>
      <c r="C105" s="1" t="s">
        <v>532</v>
      </c>
      <c r="D105" s="1">
        <v>964</v>
      </c>
      <c r="E105" s="1">
        <v>2024</v>
      </c>
      <c r="F105" s="175">
        <f>VLOOKUP($D105,'2024Data to Complete Appendix C'!$C$8:$Q$313,2,FALSE)</f>
        <v>1229</v>
      </c>
      <c r="G105" s="175">
        <f>VLOOKUP($D105,'2024Data to Complete Appendix C'!$C$8:$Q$313,3,FALSE)</f>
        <v>446</v>
      </c>
      <c r="H105" s="175">
        <f>VLOOKUP($D105,'2024Data to Complete Appendix C'!$C$8:$Q$313,4,FALSE)</f>
        <v>0</v>
      </c>
      <c r="I105" s="175">
        <f>VLOOKUP($D105,'2024Data to Complete Appendix C'!$C$8:$Q$313,5,FALSE)</f>
        <v>519</v>
      </c>
      <c r="J105" s="176">
        <f>VLOOKUP($D105,'2024Data to Complete Appendix C'!$C$8:$Q$313,6,FALSE)</f>
        <v>2.7556099999999999</v>
      </c>
      <c r="K105" s="176">
        <f>VLOOKUP($D105,'2024Data to Complete Appendix C'!$C$8:$Q$313,7,FALSE)</f>
        <v>1.95</v>
      </c>
      <c r="L105" s="176">
        <f>VLOOKUP($D105,'2024Data to Complete Appendix C'!$C$8:$Q$313,8,FALSE)</f>
        <v>1.2678100000000001</v>
      </c>
      <c r="M105" s="175">
        <f>VLOOKUP($D105,'2024Data to Complete Appendix C'!$C$8:$Q$313,9,FALSE)</f>
        <v>168.791</v>
      </c>
      <c r="N105" s="176">
        <f>VLOOKUP($D105,'2024Data to Complete Appendix C'!$C$8:$Q$313,10,FALSE)</f>
        <v>0.27455000000000002</v>
      </c>
      <c r="O105" s="177">
        <f>VLOOKUP($D105,'2024Data to Complete Appendix C'!$C$8:$Q$313,11,FALSE)</f>
        <v>0.56699999999999995</v>
      </c>
      <c r="P105" s="177">
        <f>VLOOKUP($D105,'2024Data to Complete Appendix C'!$C$8:$Q$313,12,FALSE)</f>
        <v>0.77268000000000003</v>
      </c>
      <c r="Q105" s="177">
        <f>VLOOKUP($D105,'2024Data to Complete Appendix C'!$C$8:$Q$313,13,FALSE)</f>
        <v>0.63540872599999998</v>
      </c>
      <c r="R105" s="176">
        <f>VLOOKUP($D105,'2024Data to Complete Appendix C'!$C$8:$Q$313,14,FALSE)</f>
        <v>2.2999999999999998</v>
      </c>
      <c r="S105" s="177">
        <f>VLOOKUP($D105,'2024Data to Complete Appendix C'!$C$8:$Q$313,15,FALSE)</f>
        <v>-0.140843</v>
      </c>
      <c r="T105" s="175">
        <f>IFERROR(VLOOKUP($D105,'2024_Lodging_by_WUP'!$A:$D,4,FALSE),0)</f>
        <v>0</v>
      </c>
      <c r="U105" s="175">
        <f t="shared" si="1"/>
        <v>0</v>
      </c>
      <c r="V105" s="178" t="str">
        <f>IFERROR(VLOOKUP($D105,Total_DU!$B$5:$AB$171,24,0),0)</f>
        <v>NA</v>
      </c>
      <c r="W105" s="178" t="str">
        <f>IFERROR(VLOOKUP($D105,Total_DU!$B$5:$AB$174,25,0),0)</f>
        <v>NA</v>
      </c>
      <c r="X105" s="178" t="str">
        <f>IFERROR(VLOOKUP($D105,Total_DU!$B$5:$AB$174,26,0),0)</f>
        <v>NA</v>
      </c>
      <c r="Y105" s="178" t="str">
        <f>IFERROR(VLOOKUP($D105,Total_DU!$B$5:$AB$174,27,0),0)</f>
        <v>NA</v>
      </c>
      <c r="Z105" s="178" t="str">
        <f>IFERROR(VLOOKUP($D105,Population!$B$5:$AA$175,23,FALSE),0)</f>
        <v>NA</v>
      </c>
      <c r="AA105" s="178" t="str">
        <f>IFERROR(VLOOKUP($D105,Population!$B$5:$AA$175,24,FALSE),0)</f>
        <v>NA</v>
      </c>
      <c r="AB105" s="178" t="str">
        <f>IFERROR(VLOOKUP($D105,Population!$B$5:$AA$175,25,FALSE),0)</f>
        <v>NA</v>
      </c>
      <c r="AC105" s="178" t="str">
        <f>IFERROR(VLOOKUP($D105,Population!$B$5:$AA$175,26,FALSE),0)</f>
        <v>NA</v>
      </c>
    </row>
    <row r="106" spans="1:29" x14ac:dyDescent="0.2">
      <c r="A106" s="1" t="s">
        <v>521</v>
      </c>
      <c r="B106" s="1" t="s">
        <v>533</v>
      </c>
      <c r="C106" s="1" t="s">
        <v>534</v>
      </c>
      <c r="D106" s="1">
        <v>1631</v>
      </c>
      <c r="E106" s="1">
        <v>2024</v>
      </c>
      <c r="F106" s="175">
        <f>VLOOKUP($D106,'2024Data to Complete Appendix C'!$C$8:$Q$313,2,FALSE)</f>
        <v>18944</v>
      </c>
      <c r="G106" s="175">
        <f>VLOOKUP($D106,'2024Data to Complete Appendix C'!$C$8:$Q$313,3,FALSE)</f>
        <v>7305</v>
      </c>
      <c r="H106" s="175">
        <f>VLOOKUP($D106,'2024Data to Complete Appendix C'!$C$8:$Q$313,4,FALSE)</f>
        <v>364</v>
      </c>
      <c r="I106" s="175">
        <f>VLOOKUP($D106,'2024Data to Complete Appendix C'!$C$8:$Q$313,5,FALSE)</f>
        <v>8383</v>
      </c>
      <c r="J106" s="176">
        <f>VLOOKUP($D106,'2024Data to Complete Appendix C'!$C$8:$Q$313,6,FALSE)</f>
        <v>2.5932900000000001</v>
      </c>
      <c r="K106" s="176">
        <f>VLOOKUP($D106,'2024Data to Complete Appendix C'!$C$8:$Q$313,7,FALSE)</f>
        <v>1.95</v>
      </c>
      <c r="L106" s="176">
        <f>VLOOKUP($D106,'2024Data to Complete Appendix C'!$C$8:$Q$313,8,FALSE)</f>
        <v>1.06986</v>
      </c>
      <c r="M106" s="175">
        <f>VLOOKUP($D106,'2024Data to Complete Appendix C'!$C$8:$Q$313,9,FALSE)</f>
        <v>678.71400000000006</v>
      </c>
      <c r="N106" s="176">
        <f>VLOOKUP($D106,'2024Data to Complete Appendix C'!$C$8:$Q$313,10,FALSE)</f>
        <v>8.5012400000000002E-2</v>
      </c>
      <c r="O106" s="177">
        <f>VLOOKUP($D106,'2024Data to Complete Appendix C'!$C$8:$Q$313,11,FALSE)</f>
        <v>0.56699999999999995</v>
      </c>
      <c r="P106" s="177">
        <f>VLOOKUP($D106,'2024Data to Complete Appendix C'!$C$8:$Q$313,12,FALSE)</f>
        <v>0.77268000000000003</v>
      </c>
      <c r="Q106" s="177">
        <f>VLOOKUP($D106,'2024Data to Complete Appendix C'!$C$8:$Q$313,13,FALSE)</f>
        <v>0.63540872599999998</v>
      </c>
      <c r="R106" s="176">
        <f>VLOOKUP($D106,'2024Data to Complete Appendix C'!$C$8:$Q$313,14,FALSE)</f>
        <v>2.2999999999999998</v>
      </c>
      <c r="S106" s="177">
        <f>VLOOKUP($D106,'2024Data to Complete Appendix C'!$C$8:$Q$313,15,FALSE)</f>
        <v>0.20336000000000001</v>
      </c>
      <c r="T106" s="175">
        <f>IFERROR(VLOOKUP($D106,'2024_Lodging_by_WUP'!$A:$D,4,FALSE),0)</f>
        <v>126</v>
      </c>
      <c r="U106" s="175">
        <f t="shared" si="1"/>
        <v>184.14144879479997</v>
      </c>
      <c r="V106" s="178">
        <f>IFERROR(VLOOKUP($D106,Total_DU!$B$5:$AB$171,24,0),0)</f>
        <v>4776</v>
      </c>
      <c r="W106" s="178">
        <f>IFERROR(VLOOKUP($D106,Total_DU!$B$5:$AB$174,25,0),0)</f>
        <v>4946</v>
      </c>
      <c r="X106" s="178">
        <f>IFERROR(VLOOKUP($D106,Total_DU!$B$5:$AB$174,26,0),0)</f>
        <v>4881</v>
      </c>
      <c r="Y106" s="178">
        <f>IFERROR(VLOOKUP($D106,Total_DU!$B$5:$AB$174,27,0),0)</f>
        <v>6025</v>
      </c>
      <c r="Z106" s="178">
        <f>IFERROR(VLOOKUP($D106,Population!$B$5:$AA$175,23,FALSE),0)</f>
        <v>12814.365153465529</v>
      </c>
      <c r="AA106" s="178">
        <f>IFERROR(VLOOKUP($D106,Population!$B$5:$AA$175,24,FALSE),0)</f>
        <v>13231</v>
      </c>
      <c r="AB106" s="178">
        <f>IFERROR(VLOOKUP($D106,Population!$B$5:$AA$175,25,FALSE),0)</f>
        <v>13113</v>
      </c>
      <c r="AC106" s="178">
        <f>IFERROR(VLOOKUP($D106,Population!$B$5:$AA$175,26,FALSE),0)</f>
        <v>15621.37952968932</v>
      </c>
    </row>
    <row r="107" spans="1:29" x14ac:dyDescent="0.2">
      <c r="A107" s="1" t="s">
        <v>521</v>
      </c>
      <c r="B107" s="1" t="s">
        <v>535</v>
      </c>
      <c r="C107" s="1" t="s">
        <v>523</v>
      </c>
      <c r="D107" s="1">
        <v>2319</v>
      </c>
      <c r="E107" s="1">
        <v>2024</v>
      </c>
      <c r="F107" s="175">
        <f>VLOOKUP($D107,'2024Data to Complete Appendix C'!$C$8:$Q$313,2,FALSE)</f>
        <v>1051</v>
      </c>
      <c r="G107" s="175">
        <f>VLOOKUP($D107,'2024Data to Complete Appendix C'!$C$8:$Q$313,3,FALSE)</f>
        <v>401</v>
      </c>
      <c r="H107" s="175">
        <f>VLOOKUP($D107,'2024Data to Complete Appendix C'!$C$8:$Q$313,4,FALSE)</f>
        <v>5</v>
      </c>
      <c r="I107" s="175">
        <f>VLOOKUP($D107,'2024Data to Complete Appendix C'!$C$8:$Q$313,5,FALSE)</f>
        <v>432</v>
      </c>
      <c r="J107" s="176">
        <f>VLOOKUP($D107,'2024Data to Complete Appendix C'!$C$8:$Q$313,6,FALSE)</f>
        <v>2.6209500000000001</v>
      </c>
      <c r="K107" s="176">
        <f>VLOOKUP($D107,'2024Data to Complete Appendix C'!$C$8:$Q$313,7,FALSE)</f>
        <v>1.95</v>
      </c>
      <c r="L107" s="176">
        <f>VLOOKUP($D107,'2024Data to Complete Appendix C'!$C$8:$Q$313,8,FALSE)</f>
        <v>1.00631</v>
      </c>
      <c r="M107" s="175">
        <f>VLOOKUP($D107,'2024Data to Complete Appendix C'!$C$8:$Q$313,9,FALSE)</f>
        <v>3.4021400000000002</v>
      </c>
      <c r="N107" s="176">
        <f>VLOOKUP($D107,'2024Data to Complete Appendix C'!$C$8:$Q$313,10,FALSE)</f>
        <v>8.4127999999999998E-3</v>
      </c>
      <c r="O107" s="177">
        <f>VLOOKUP($D107,'2024Data to Complete Appendix C'!$C$8:$Q$313,11,FALSE)</f>
        <v>0.56699999999999995</v>
      </c>
      <c r="P107" s="177">
        <f>VLOOKUP($D107,'2024Data to Complete Appendix C'!$C$8:$Q$313,12,FALSE)</f>
        <v>0.77268000000000003</v>
      </c>
      <c r="Q107" s="177">
        <f>VLOOKUP($D107,'2024Data to Complete Appendix C'!$C$8:$Q$313,13,FALSE)</f>
        <v>0.63540872599999998</v>
      </c>
      <c r="R107" s="176">
        <f>VLOOKUP($D107,'2024Data to Complete Appendix C'!$C$8:$Q$313,14,FALSE)</f>
        <v>2.2999999999999998</v>
      </c>
      <c r="S107" s="177">
        <f>VLOOKUP($D107,'2024Data to Complete Appendix C'!$C$8:$Q$313,15,FALSE)</f>
        <v>-0.75090299999999999</v>
      </c>
      <c r="T107" s="175">
        <f>IFERROR(VLOOKUP($D107,'2024_Lodging_by_WUP'!$A:$D,4,FALSE),0)</f>
        <v>0</v>
      </c>
      <c r="U107" s="175">
        <f t="shared" si="1"/>
        <v>0</v>
      </c>
      <c r="V107" s="178">
        <f>IFERROR(VLOOKUP($D107,Total_DU!$B$5:$AB$171,24,0),0)</f>
        <v>0</v>
      </c>
      <c r="W107" s="178">
        <f>IFERROR(VLOOKUP($D107,Total_DU!$B$5:$AB$174,25,0),0)</f>
        <v>0</v>
      </c>
      <c r="X107" s="178">
        <f>IFERROR(VLOOKUP($D107,Total_DU!$B$5:$AB$174,26,0),0)</f>
        <v>0</v>
      </c>
      <c r="Y107" s="178">
        <f>IFERROR(VLOOKUP($D107,Total_DU!$B$5:$AB$174,27,0),0)</f>
        <v>0</v>
      </c>
      <c r="Z107" s="178">
        <f>IFERROR(VLOOKUP($D107,Population!$B$5:$AA$175,23,FALSE),0)</f>
        <v>0</v>
      </c>
      <c r="AA107" s="178">
        <f>IFERROR(VLOOKUP($D107,Population!$B$5:$AA$175,24,FALSE),0)</f>
        <v>0</v>
      </c>
      <c r="AB107" s="178">
        <f>IFERROR(VLOOKUP($D107,Population!$B$5:$AA$175,25,FALSE),0)</f>
        <v>0</v>
      </c>
      <c r="AC107" s="178">
        <f>IFERROR(VLOOKUP($D107,Population!$B$5:$AA$175,26,FALSE),0)</f>
        <v>0</v>
      </c>
    </row>
    <row r="108" spans="1:29" x14ac:dyDescent="0.2">
      <c r="A108" s="1" t="s">
        <v>521</v>
      </c>
      <c r="B108" s="1" t="s">
        <v>536</v>
      </c>
      <c r="C108" s="1" t="s">
        <v>523</v>
      </c>
      <c r="D108" s="1">
        <v>2978</v>
      </c>
      <c r="E108" s="1">
        <v>2024</v>
      </c>
      <c r="F108" s="175">
        <f>VLOOKUP($D108,'2024Data to Complete Appendix C'!$C$8:$Q$313,2,FALSE)</f>
        <v>7911</v>
      </c>
      <c r="G108" s="175">
        <f>VLOOKUP($D108,'2024Data to Complete Appendix C'!$C$8:$Q$313,3,FALSE)</f>
        <v>4175</v>
      </c>
      <c r="H108" s="175">
        <f>VLOOKUP($D108,'2024Data to Complete Appendix C'!$C$8:$Q$313,4,FALSE)</f>
        <v>6</v>
      </c>
      <c r="I108" s="175">
        <f>VLOOKUP($D108,'2024Data to Complete Appendix C'!$C$8:$Q$313,5,FALSE)</f>
        <v>5241</v>
      </c>
      <c r="J108" s="176">
        <f>VLOOKUP($D108,'2024Data to Complete Appendix C'!$C$8:$Q$313,6,FALSE)</f>
        <v>1.8948499999999999</v>
      </c>
      <c r="K108" s="176">
        <f>VLOOKUP($D108,'2024Data to Complete Appendix C'!$C$8:$Q$313,7,FALSE)</f>
        <v>1.95</v>
      </c>
      <c r="L108" s="176">
        <f>VLOOKUP($D108,'2024Data to Complete Appendix C'!$C$8:$Q$313,8,FALSE)</f>
        <v>1.0750500000000001</v>
      </c>
      <c r="M108" s="175">
        <f>VLOOKUP($D108,'2024Data to Complete Appendix C'!$C$8:$Q$313,9,FALSE)</f>
        <v>304.47399999999999</v>
      </c>
      <c r="N108" s="176">
        <f>VLOOKUP($D108,'2024Data to Complete Appendix C'!$C$8:$Q$313,10,FALSE)</f>
        <v>6.7970799999999998E-2</v>
      </c>
      <c r="O108" s="177">
        <f>VLOOKUP($D108,'2024Data to Complete Appendix C'!$C$8:$Q$313,11,FALSE)</f>
        <v>0.56699999999999995</v>
      </c>
      <c r="P108" s="177">
        <f>VLOOKUP($D108,'2024Data to Complete Appendix C'!$C$8:$Q$313,12,FALSE)</f>
        <v>0.77268000000000003</v>
      </c>
      <c r="Q108" s="177">
        <f>VLOOKUP($D108,'2024Data to Complete Appendix C'!$C$8:$Q$313,13,FALSE)</f>
        <v>0.63540872599999998</v>
      </c>
      <c r="R108" s="176">
        <f>VLOOKUP($D108,'2024Data to Complete Appendix C'!$C$8:$Q$313,14,FALSE)</f>
        <v>2.2999999999999998</v>
      </c>
      <c r="S108" s="177">
        <f>VLOOKUP($D108,'2024Data to Complete Appendix C'!$C$8:$Q$313,15,FALSE)</f>
        <v>0.17255300000000001</v>
      </c>
      <c r="T108" s="175">
        <f>IFERROR(VLOOKUP($D108,'2024_Lodging_by_WUP'!$A:$D,4,FALSE),0)</f>
        <v>14</v>
      </c>
      <c r="U108" s="175">
        <f t="shared" si="1"/>
        <v>20.460160977200001</v>
      </c>
      <c r="V108" s="178">
        <f>IFERROR(VLOOKUP($D108,Total_DU!$B$5:$AB$171,24,0),0)</f>
        <v>2792</v>
      </c>
      <c r="W108" s="178">
        <f>IFERROR(VLOOKUP($D108,Total_DU!$B$5:$AB$174,25,0),0)</f>
        <v>2817</v>
      </c>
      <c r="X108" s="178">
        <f>IFERROR(VLOOKUP($D108,Total_DU!$B$5:$AB$174,26,0),0)</f>
        <v>3845</v>
      </c>
      <c r="Y108" s="178">
        <f>IFERROR(VLOOKUP($D108,Total_DU!$B$5:$AB$174,27,0),0)</f>
        <v>3951</v>
      </c>
      <c r="Z108" s="178">
        <f>IFERROR(VLOOKUP($D108,Population!$B$5:$AA$175,23,FALSE),0)</f>
        <v>5444.3420528156184</v>
      </c>
      <c r="AA108" s="178">
        <f>IFERROR(VLOOKUP($D108,Population!$B$5:$AA$175,24,FALSE),0)</f>
        <v>5489</v>
      </c>
      <c r="AB108" s="178">
        <f>IFERROR(VLOOKUP($D108,Population!$B$5:$AA$175,25,FALSE),0)</f>
        <v>7484</v>
      </c>
      <c r="AC108" s="178">
        <f>IFERROR(VLOOKUP($D108,Population!$B$5:$AA$175,26,FALSE),0)</f>
        <v>7573.1221676059804</v>
      </c>
    </row>
    <row r="109" spans="1:29" x14ac:dyDescent="0.2">
      <c r="A109" s="1" t="s">
        <v>521</v>
      </c>
      <c r="B109" s="1" t="s">
        <v>537</v>
      </c>
      <c r="C109" s="1" t="s">
        <v>523</v>
      </c>
      <c r="D109" s="1">
        <v>3182</v>
      </c>
      <c r="E109" s="1">
        <v>2024</v>
      </c>
      <c r="F109" s="175">
        <f>VLOOKUP($D109,'2024Data to Complete Appendix C'!$C$8:$Q$313,2,FALSE)</f>
        <v>37114</v>
      </c>
      <c r="G109" s="175">
        <f>VLOOKUP($D109,'2024Data to Complete Appendix C'!$C$8:$Q$313,3,FALSE)</f>
        <v>15415</v>
      </c>
      <c r="H109" s="175">
        <f>VLOOKUP($D109,'2024Data to Complete Appendix C'!$C$8:$Q$313,4,FALSE)</f>
        <v>394</v>
      </c>
      <c r="I109" s="175">
        <f>VLOOKUP($D109,'2024Data to Complete Appendix C'!$C$8:$Q$313,5,FALSE)</f>
        <v>16509</v>
      </c>
      <c r="J109" s="176">
        <f>VLOOKUP($D109,'2024Data to Complete Appendix C'!$C$8:$Q$313,6,FALSE)</f>
        <v>2.4076599999999999</v>
      </c>
      <c r="K109" s="176">
        <f>VLOOKUP($D109,'2024Data to Complete Appendix C'!$C$8:$Q$313,7,FALSE)</f>
        <v>1.95</v>
      </c>
      <c r="L109" s="176">
        <f>VLOOKUP($D109,'2024Data to Complete Appendix C'!$C$8:$Q$313,8,FALSE)</f>
        <v>1.07046</v>
      </c>
      <c r="M109" s="175">
        <f>VLOOKUP($D109,'2024Data to Complete Appendix C'!$C$8:$Q$313,9,FALSE)</f>
        <v>1340.97</v>
      </c>
      <c r="N109" s="176">
        <f>VLOOKUP($D109,'2024Data to Complete Appendix C'!$C$8:$Q$313,10,FALSE)</f>
        <v>8.0029600000000006E-2</v>
      </c>
      <c r="O109" s="177">
        <f>VLOOKUP($D109,'2024Data to Complete Appendix C'!$C$8:$Q$313,11,FALSE)</f>
        <v>0.56699999999999995</v>
      </c>
      <c r="P109" s="177">
        <f>VLOOKUP($D109,'2024Data to Complete Appendix C'!$C$8:$Q$313,12,FALSE)</f>
        <v>0.77268000000000003</v>
      </c>
      <c r="Q109" s="177">
        <f>VLOOKUP($D109,'2024Data to Complete Appendix C'!$C$8:$Q$313,13,FALSE)</f>
        <v>0.63540872599999998</v>
      </c>
      <c r="R109" s="176">
        <f>VLOOKUP($D109,'2024Data to Complete Appendix C'!$C$8:$Q$313,14,FALSE)</f>
        <v>2.2999999999999998</v>
      </c>
      <c r="S109" s="177">
        <f>VLOOKUP($D109,'2024Data to Complete Appendix C'!$C$8:$Q$313,15,FALSE)</f>
        <v>-0.39824599999999999</v>
      </c>
      <c r="T109" s="175">
        <f>IFERROR(VLOOKUP($D109,'2024_Lodging_by_WUP'!$A:$D,4,FALSE),0)</f>
        <v>4</v>
      </c>
      <c r="U109" s="175">
        <f t="shared" si="1"/>
        <v>5.8457602791999994</v>
      </c>
      <c r="V109" s="178">
        <f>IFERROR(VLOOKUP($D109,Total_DU!$B$5:$AB$171,24,0),0)</f>
        <v>13262</v>
      </c>
      <c r="W109" s="178">
        <f>IFERROR(VLOOKUP($D109,Total_DU!$B$5:$AB$174,25,0),0)</f>
        <v>13620</v>
      </c>
      <c r="X109" s="178">
        <f>IFERROR(VLOOKUP($D109,Total_DU!$B$5:$AB$174,26,0),0)</f>
        <v>13826</v>
      </c>
      <c r="Y109" s="178">
        <f>IFERROR(VLOOKUP($D109,Total_DU!$B$5:$AB$174,27,0),0)</f>
        <v>13944</v>
      </c>
      <c r="Z109" s="178">
        <f>IFERROR(VLOOKUP($D109,Population!$B$5:$AA$175,23,FALSE),0)</f>
        <v>31042.096868534616</v>
      </c>
      <c r="AA109" s="178">
        <f>IFERROR(VLOOKUP($D109,Population!$B$5:$AA$175,24,FALSE),0)</f>
        <v>31872</v>
      </c>
      <c r="AB109" s="178">
        <f>IFERROR(VLOOKUP($D109,Population!$B$5:$AA$175,25,FALSE),0)</f>
        <v>32343</v>
      </c>
      <c r="AC109" s="178">
        <f>IFERROR(VLOOKUP($D109,Population!$B$5:$AA$175,26,FALSE),0)</f>
        <v>32906.581850721101</v>
      </c>
    </row>
    <row r="110" spans="1:29" x14ac:dyDescent="0.2">
      <c r="A110" s="1" t="s">
        <v>521</v>
      </c>
      <c r="B110" s="1" t="s">
        <v>538</v>
      </c>
      <c r="C110" s="1" t="s">
        <v>539</v>
      </c>
      <c r="D110" s="1">
        <v>3528</v>
      </c>
      <c r="E110" s="1">
        <v>2024</v>
      </c>
      <c r="F110" s="175">
        <f>VLOOKUP($D110,'2024Data to Complete Appendix C'!$C$8:$Q$313,2,FALSE)</f>
        <v>724</v>
      </c>
      <c r="G110" s="175">
        <f>VLOOKUP($D110,'2024Data to Complete Appendix C'!$C$8:$Q$313,3,FALSE)</f>
        <v>330</v>
      </c>
      <c r="H110" s="175">
        <f>VLOOKUP($D110,'2024Data to Complete Appendix C'!$C$8:$Q$313,4,FALSE)</f>
        <v>0</v>
      </c>
      <c r="I110" s="175">
        <f>VLOOKUP($D110,'2024Data to Complete Appendix C'!$C$8:$Q$313,5,FALSE)</f>
        <v>432</v>
      </c>
      <c r="J110" s="176">
        <f>VLOOKUP($D110,'2024Data to Complete Appendix C'!$C$8:$Q$313,6,FALSE)</f>
        <v>2.19394</v>
      </c>
      <c r="K110" s="176">
        <f>VLOOKUP($D110,'2024Data to Complete Appendix C'!$C$8:$Q$313,7,FALSE)</f>
        <v>1.95</v>
      </c>
      <c r="L110" s="176">
        <f>VLOOKUP($D110,'2024Data to Complete Appendix C'!$C$8:$Q$313,8,FALSE)</f>
        <v>1.41842</v>
      </c>
      <c r="M110" s="175">
        <f>VLOOKUP($D110,'2024Data to Complete Appendix C'!$C$8:$Q$313,9,FALSE)</f>
        <v>155.351</v>
      </c>
      <c r="N110" s="176">
        <f>VLOOKUP($D110,'2024Data to Complete Appendix C'!$C$8:$Q$313,10,FALSE)</f>
        <v>0.32007999999999998</v>
      </c>
      <c r="O110" s="177">
        <f>VLOOKUP($D110,'2024Data to Complete Appendix C'!$C$8:$Q$313,11,FALSE)</f>
        <v>0.56699999999999995</v>
      </c>
      <c r="P110" s="177">
        <f>VLOOKUP($D110,'2024Data to Complete Appendix C'!$C$8:$Q$313,12,FALSE)</f>
        <v>0.77268000000000003</v>
      </c>
      <c r="Q110" s="177">
        <f>VLOOKUP($D110,'2024Data to Complete Appendix C'!$C$8:$Q$313,13,FALSE)</f>
        <v>0.63540872599999998</v>
      </c>
      <c r="R110" s="176">
        <f>VLOOKUP($D110,'2024Data to Complete Appendix C'!$C$8:$Q$313,14,FALSE)</f>
        <v>2.2999999999999998</v>
      </c>
      <c r="S110" s="177">
        <f>VLOOKUP($D110,'2024Data to Complete Appendix C'!$C$8:$Q$313,15,FALSE)</f>
        <v>4.7656900000000002E-2</v>
      </c>
      <c r="T110" s="175">
        <f>IFERROR(VLOOKUP($D110,'2024_Lodging_by_WUP'!$A:$D,4,FALSE),0)</f>
        <v>0</v>
      </c>
      <c r="U110" s="175">
        <f t="shared" si="1"/>
        <v>0</v>
      </c>
      <c r="V110" s="178">
        <f>IFERROR(VLOOKUP($D110,Total_DU!$B$5:$AB$171,24,0),0)</f>
        <v>0</v>
      </c>
      <c r="W110" s="178">
        <f>IFERROR(VLOOKUP($D110,Total_DU!$B$5:$AB$174,25,0),0)</f>
        <v>0</v>
      </c>
      <c r="X110" s="178">
        <f>IFERROR(VLOOKUP($D110,Total_DU!$B$5:$AB$174,26,0),0)</f>
        <v>0</v>
      </c>
      <c r="Y110" s="178">
        <f>IFERROR(VLOOKUP($D110,Total_DU!$B$5:$AB$174,27,0),0)</f>
        <v>0</v>
      </c>
      <c r="Z110" s="178">
        <f>IFERROR(VLOOKUP($D110,Population!$B$5:$AA$175,23,FALSE),0)</f>
        <v>0</v>
      </c>
      <c r="AA110" s="178">
        <f>IFERROR(VLOOKUP($D110,Population!$B$5:$AA$175,24,FALSE),0)</f>
        <v>0</v>
      </c>
      <c r="AB110" s="178">
        <f>IFERROR(VLOOKUP($D110,Population!$B$5:$AA$175,25,FALSE),0)</f>
        <v>0</v>
      </c>
      <c r="AC110" s="178">
        <f>IFERROR(VLOOKUP($D110,Population!$B$5:$AA$175,26,FALSE),0)</f>
        <v>0</v>
      </c>
    </row>
    <row r="111" spans="1:29" x14ac:dyDescent="0.2">
      <c r="A111" s="1" t="s">
        <v>521</v>
      </c>
      <c r="B111" s="1" t="s">
        <v>540</v>
      </c>
      <c r="C111" s="1" t="s">
        <v>452</v>
      </c>
      <c r="D111" s="1">
        <v>3590</v>
      </c>
      <c r="E111" s="1">
        <v>2024</v>
      </c>
      <c r="F111" s="175">
        <f>VLOOKUP($D111,'2024Data to Complete Appendix C'!$C$8:$Q$313,2,FALSE)</f>
        <v>2429</v>
      </c>
      <c r="G111" s="175">
        <f>VLOOKUP($D111,'2024Data to Complete Appendix C'!$C$8:$Q$313,3,FALSE)</f>
        <v>1149</v>
      </c>
      <c r="H111" s="175">
        <f>VLOOKUP($D111,'2024Data to Complete Appendix C'!$C$8:$Q$313,4,FALSE)</f>
        <v>3</v>
      </c>
      <c r="I111" s="175">
        <f>VLOOKUP($D111,'2024Data to Complete Appendix C'!$C$8:$Q$313,5,FALSE)</f>
        <v>1642</v>
      </c>
      <c r="J111" s="176">
        <f>VLOOKUP($D111,'2024Data to Complete Appendix C'!$C$8:$Q$313,6,FALSE)</f>
        <v>2.1140099999999999</v>
      </c>
      <c r="K111" s="176">
        <f>VLOOKUP($D111,'2024Data to Complete Appendix C'!$C$8:$Q$313,7,FALSE)</f>
        <v>1.95</v>
      </c>
      <c r="L111" s="176">
        <f>VLOOKUP($D111,'2024Data to Complete Appendix C'!$C$8:$Q$313,8,FALSE)</f>
        <v>1.00631</v>
      </c>
      <c r="M111" s="175">
        <f>VLOOKUP($D111,'2024Data to Complete Appendix C'!$C$8:$Q$313,9,FALSE)</f>
        <v>7.8628</v>
      </c>
      <c r="N111" s="176">
        <f>VLOOKUP($D111,'2024Data to Complete Appendix C'!$C$8:$Q$313,10,FALSE)</f>
        <v>6.7967000000000001E-3</v>
      </c>
      <c r="O111" s="177">
        <f>VLOOKUP($D111,'2024Data to Complete Appendix C'!$C$8:$Q$313,11,FALSE)</f>
        <v>0.56699999999999995</v>
      </c>
      <c r="P111" s="177">
        <f>VLOOKUP($D111,'2024Data to Complete Appendix C'!$C$8:$Q$313,12,FALSE)</f>
        <v>0.77268000000000003</v>
      </c>
      <c r="Q111" s="177">
        <f>VLOOKUP($D111,'2024Data to Complete Appendix C'!$C$8:$Q$313,13,FALSE)</f>
        <v>0.63540872599999998</v>
      </c>
      <c r="R111" s="176">
        <f>VLOOKUP($D111,'2024Data to Complete Appendix C'!$C$8:$Q$313,14,FALSE)</f>
        <v>2.2999999999999998</v>
      </c>
      <c r="S111" s="177">
        <f>VLOOKUP($D111,'2024Data to Complete Appendix C'!$C$8:$Q$313,15,FALSE)</f>
        <v>-0.14807200000000001</v>
      </c>
      <c r="T111" s="175">
        <f>IFERROR(VLOOKUP($D111,'2024_Lodging_by_WUP'!$A:$D,4,FALSE),0)</f>
        <v>0</v>
      </c>
      <c r="U111" s="175">
        <f t="shared" si="1"/>
        <v>0</v>
      </c>
      <c r="V111" s="178">
        <f>IFERROR(VLOOKUP($D111,Total_DU!$B$5:$AB$171,24,0),0)</f>
        <v>1850</v>
      </c>
      <c r="W111" s="178">
        <f>IFERROR(VLOOKUP($D111,Total_DU!$B$5:$AB$174,25,0),0)</f>
        <v>1794</v>
      </c>
      <c r="X111" s="178">
        <f>IFERROR(VLOOKUP($D111,Total_DU!$B$5:$AB$174,26,0),0)</f>
        <v>1829</v>
      </c>
      <c r="Y111" s="178">
        <f>IFERROR(VLOOKUP($D111,Total_DU!$B$5:$AB$174,27,0),0)</f>
        <v>1872</v>
      </c>
      <c r="Z111" s="178">
        <f>IFERROR(VLOOKUP($D111,Population!$B$5:$AA$175,23,FALSE),0)</f>
        <v>3760.0095975658978</v>
      </c>
      <c r="AA111" s="178">
        <f>IFERROR(VLOOKUP($D111,Population!$B$5:$AA$175,24,FALSE),0)</f>
        <v>3646</v>
      </c>
      <c r="AB111" s="178">
        <f>IFERROR(VLOOKUP($D111,Population!$B$5:$AA$175,25,FALSE),0)</f>
        <v>3717</v>
      </c>
      <c r="AC111" s="178">
        <f>IFERROR(VLOOKUP($D111,Population!$B$5:$AA$175,26,FALSE),0)</f>
        <v>3953.1241914220691</v>
      </c>
    </row>
    <row r="112" spans="1:29" x14ac:dyDescent="0.2">
      <c r="A112" s="1" t="s">
        <v>521</v>
      </c>
      <c r="B112" s="1" t="s">
        <v>541</v>
      </c>
      <c r="C112" s="1" t="s">
        <v>542</v>
      </c>
      <c r="D112" s="1">
        <v>3619</v>
      </c>
      <c r="E112" s="1">
        <v>2024</v>
      </c>
      <c r="F112" s="175">
        <f>VLOOKUP($D112,'2024Data to Complete Appendix C'!$C$8:$Q$313,2,FALSE)</f>
        <v>271</v>
      </c>
      <c r="G112" s="175">
        <f>VLOOKUP($D112,'2024Data to Complete Appendix C'!$C$8:$Q$313,3,FALSE)</f>
        <v>149</v>
      </c>
      <c r="H112" s="175">
        <f>VLOOKUP($D112,'2024Data to Complete Appendix C'!$C$8:$Q$313,4,FALSE)</f>
        <v>0</v>
      </c>
      <c r="I112" s="175">
        <f>VLOOKUP($D112,'2024Data to Complete Appendix C'!$C$8:$Q$313,5,FALSE)</f>
        <v>218</v>
      </c>
      <c r="J112" s="176">
        <f>VLOOKUP($D112,'2024Data to Complete Appendix C'!$C$8:$Q$313,6,FALSE)</f>
        <v>1.8187899999999999</v>
      </c>
      <c r="K112" s="176">
        <f>VLOOKUP($D112,'2024Data to Complete Appendix C'!$C$8:$Q$313,7,FALSE)</f>
        <v>1.95</v>
      </c>
      <c r="L112" s="176">
        <f>VLOOKUP($D112,'2024Data to Complete Appendix C'!$C$8:$Q$313,8,FALSE)</f>
        <v>1.06986</v>
      </c>
      <c r="M112" s="175">
        <f>VLOOKUP($D112,'2024Data to Complete Appendix C'!$C$8:$Q$313,9,FALSE)</f>
        <v>9.7092299999999998</v>
      </c>
      <c r="N112" s="176">
        <f>VLOOKUP($D112,'2024Data to Complete Appendix C'!$C$8:$Q$313,10,FALSE)</f>
        <v>6.11762E-2</v>
      </c>
      <c r="O112" s="177">
        <f>VLOOKUP($D112,'2024Data to Complete Appendix C'!$C$8:$Q$313,11,FALSE)</f>
        <v>0.56699999999999995</v>
      </c>
      <c r="P112" s="177">
        <f>VLOOKUP($D112,'2024Data to Complete Appendix C'!$C$8:$Q$313,12,FALSE)</f>
        <v>0.77268000000000003</v>
      </c>
      <c r="Q112" s="177">
        <f>VLOOKUP($D112,'2024Data to Complete Appendix C'!$C$8:$Q$313,13,FALSE)</f>
        <v>0.63540872599999998</v>
      </c>
      <c r="R112" s="176">
        <f>VLOOKUP($D112,'2024Data to Complete Appendix C'!$C$8:$Q$313,14,FALSE)</f>
        <v>2.2999999999999998</v>
      </c>
      <c r="S112" s="177">
        <f>VLOOKUP($D112,'2024Data to Complete Appendix C'!$C$8:$Q$313,15,FALSE)</f>
        <v>-0.105003</v>
      </c>
      <c r="T112" s="175">
        <f>IFERROR(VLOOKUP($D112,'2024_Lodging_by_WUP'!$A:$D,4,FALSE),0)</f>
        <v>0</v>
      </c>
      <c r="U112" s="175">
        <f t="shared" si="1"/>
        <v>0</v>
      </c>
      <c r="V112" s="178">
        <f>IFERROR(VLOOKUP($D112,Total_DU!$B$5:$AB$171,24,0),0)</f>
        <v>0</v>
      </c>
      <c r="W112" s="178">
        <f>IFERROR(VLOOKUP($D112,Total_DU!$B$5:$AB$174,25,0),0)</f>
        <v>0</v>
      </c>
      <c r="X112" s="178">
        <f>IFERROR(VLOOKUP($D112,Total_DU!$B$5:$AB$174,26,0),0)</f>
        <v>0</v>
      </c>
      <c r="Y112" s="178">
        <f>IFERROR(VLOOKUP($D112,Total_DU!$B$5:$AB$174,27,0),0)</f>
        <v>0</v>
      </c>
      <c r="Z112" s="178">
        <f>IFERROR(VLOOKUP($D112,Population!$B$5:$AA$175,23,FALSE),0)</f>
        <v>0</v>
      </c>
      <c r="AA112" s="178">
        <f>IFERROR(VLOOKUP($D112,Population!$B$5:$AA$175,24,FALSE),0)</f>
        <v>0</v>
      </c>
      <c r="AB112" s="178">
        <f>IFERROR(VLOOKUP($D112,Population!$B$5:$AA$175,25,FALSE),0)</f>
        <v>0</v>
      </c>
      <c r="AC112" s="178">
        <f>IFERROR(VLOOKUP($D112,Population!$B$5:$AA$175,26,FALSE),0)</f>
        <v>0</v>
      </c>
    </row>
    <row r="113" spans="1:29" x14ac:dyDescent="0.2">
      <c r="A113" s="1" t="s">
        <v>521</v>
      </c>
      <c r="B113" s="1" t="s">
        <v>543</v>
      </c>
      <c r="C113" s="1" t="s">
        <v>523</v>
      </c>
      <c r="D113" s="1">
        <v>3677</v>
      </c>
      <c r="E113" s="1">
        <v>2024</v>
      </c>
      <c r="F113" s="175">
        <f>VLOOKUP($D113,'2024Data to Complete Appendix C'!$C$8:$Q$313,2,FALSE)</f>
        <v>2163</v>
      </c>
      <c r="G113" s="175">
        <f>VLOOKUP($D113,'2024Data to Complete Appendix C'!$C$8:$Q$313,3,FALSE)</f>
        <v>963</v>
      </c>
      <c r="H113" s="175">
        <f>VLOOKUP($D113,'2024Data to Complete Appendix C'!$C$8:$Q$313,4,FALSE)</f>
        <v>0</v>
      </c>
      <c r="I113" s="175">
        <f>VLOOKUP($D113,'2024Data to Complete Appendix C'!$C$8:$Q$313,5,FALSE)</f>
        <v>1112</v>
      </c>
      <c r="J113" s="176">
        <f>VLOOKUP($D113,'2024Data to Complete Appendix C'!$C$8:$Q$313,6,FALSE)</f>
        <v>2.2461099999999998</v>
      </c>
      <c r="K113" s="176">
        <f>VLOOKUP($D113,'2024Data to Complete Appendix C'!$C$8:$Q$313,7,FALSE)</f>
        <v>1.95</v>
      </c>
      <c r="L113" s="176">
        <f>VLOOKUP($D113,'2024Data to Complete Appendix C'!$C$8:$Q$313,8,FALSE)</f>
        <v>1.1112899999999999</v>
      </c>
      <c r="M113" s="175">
        <f>VLOOKUP($D113,'2024Data to Complete Appendix C'!$C$8:$Q$313,9,FALSE)</f>
        <v>123.447</v>
      </c>
      <c r="N113" s="176">
        <f>VLOOKUP($D113,'2024Data to Complete Appendix C'!$C$8:$Q$313,10,FALSE)</f>
        <v>0.113624</v>
      </c>
      <c r="O113" s="177">
        <f>VLOOKUP($D113,'2024Data to Complete Appendix C'!$C$8:$Q$313,11,FALSE)</f>
        <v>0.56699999999999995</v>
      </c>
      <c r="P113" s="177">
        <f>VLOOKUP($D113,'2024Data to Complete Appendix C'!$C$8:$Q$313,12,FALSE)</f>
        <v>0.77268000000000003</v>
      </c>
      <c r="Q113" s="177">
        <f>VLOOKUP($D113,'2024Data to Complete Appendix C'!$C$8:$Q$313,13,FALSE)</f>
        <v>0.63540872599999998</v>
      </c>
      <c r="R113" s="176">
        <f>VLOOKUP($D113,'2024Data to Complete Appendix C'!$C$8:$Q$313,14,FALSE)</f>
        <v>2.2999999999999998</v>
      </c>
      <c r="S113" s="177">
        <f>VLOOKUP($D113,'2024Data to Complete Appendix C'!$C$8:$Q$313,15,FALSE)</f>
        <v>-0.25103399999999998</v>
      </c>
      <c r="T113" s="175">
        <f>IFERROR(VLOOKUP($D113,'2024_Lodging_by_WUP'!$A:$D,4,FALSE),0)</f>
        <v>0</v>
      </c>
      <c r="U113" s="175">
        <f t="shared" si="1"/>
        <v>0</v>
      </c>
      <c r="V113" s="178" t="str">
        <f>IFERROR(VLOOKUP($D113,Total_DU!$B$5:$AB$171,24,0),0)</f>
        <v>NA</v>
      </c>
      <c r="W113" s="178" t="str">
        <f>IFERROR(VLOOKUP($D113,Total_DU!$B$5:$AB$174,25,0),0)</f>
        <v>NA</v>
      </c>
      <c r="X113" s="178" t="str">
        <f>IFERROR(VLOOKUP($D113,Total_DU!$B$5:$AB$174,26,0),0)</f>
        <v>NA</v>
      </c>
      <c r="Y113" s="178" t="str">
        <f>IFERROR(VLOOKUP($D113,Total_DU!$B$5:$AB$174,27,0),0)</f>
        <v>NA</v>
      </c>
      <c r="Z113" s="178" t="str">
        <f>IFERROR(VLOOKUP($D113,Population!$B$5:$AA$175,23,FALSE),0)</f>
        <v>NA</v>
      </c>
      <c r="AA113" s="178" t="str">
        <f>IFERROR(VLOOKUP($D113,Population!$B$5:$AA$175,24,FALSE),0)</f>
        <v>NA</v>
      </c>
      <c r="AB113" s="178" t="str">
        <f>IFERROR(VLOOKUP($D113,Population!$B$5:$AA$175,25,FALSE),0)</f>
        <v>NA</v>
      </c>
      <c r="AC113" s="178" t="str">
        <f>IFERROR(VLOOKUP($D113,Population!$B$5:$AA$175,26,FALSE),0)</f>
        <v>NA</v>
      </c>
    </row>
    <row r="114" spans="1:29" x14ac:dyDescent="0.2">
      <c r="A114" s="1" t="s">
        <v>521</v>
      </c>
      <c r="B114" s="1" t="s">
        <v>544</v>
      </c>
      <c r="C114" s="1" t="s">
        <v>545</v>
      </c>
      <c r="D114" s="1">
        <v>3692</v>
      </c>
      <c r="E114" s="1">
        <v>2024</v>
      </c>
      <c r="F114" s="175">
        <f>VLOOKUP($D114,'2024Data to Complete Appendix C'!$C$8:$Q$313,2,FALSE)</f>
        <v>9572</v>
      </c>
      <c r="G114" s="175">
        <f>VLOOKUP($D114,'2024Data to Complete Appendix C'!$C$8:$Q$313,3,FALSE)</f>
        <v>4658</v>
      </c>
      <c r="H114" s="175">
        <f>VLOOKUP($D114,'2024Data to Complete Appendix C'!$C$8:$Q$313,4,FALSE)</f>
        <v>273</v>
      </c>
      <c r="I114" s="175">
        <f>VLOOKUP($D114,'2024Data to Complete Appendix C'!$C$8:$Q$313,5,FALSE)</f>
        <v>6205</v>
      </c>
      <c r="J114" s="176">
        <f>VLOOKUP($D114,'2024Data to Complete Appendix C'!$C$8:$Q$313,6,FALSE)</f>
        <v>2.0549599999999999</v>
      </c>
      <c r="K114" s="176">
        <f>VLOOKUP($D114,'2024Data to Complete Appendix C'!$C$8:$Q$313,7,FALSE)</f>
        <v>1.95</v>
      </c>
      <c r="L114" s="176">
        <f>VLOOKUP($D114,'2024Data to Complete Appendix C'!$C$8:$Q$313,8,FALSE)</f>
        <v>1.07192</v>
      </c>
      <c r="M114" s="175">
        <f>VLOOKUP($D114,'2024Data to Complete Appendix C'!$C$8:$Q$313,9,FALSE)</f>
        <v>353.04899999999998</v>
      </c>
      <c r="N114" s="176">
        <f>VLOOKUP($D114,'2024Data to Complete Appendix C'!$C$8:$Q$313,10,FALSE)</f>
        <v>7.0454000000000003E-2</v>
      </c>
      <c r="O114" s="177">
        <f>VLOOKUP($D114,'2024Data to Complete Appendix C'!$C$8:$Q$313,11,FALSE)</f>
        <v>0.56699999999999995</v>
      </c>
      <c r="P114" s="177">
        <f>VLOOKUP($D114,'2024Data to Complete Appendix C'!$C$8:$Q$313,12,FALSE)</f>
        <v>0.77268000000000003</v>
      </c>
      <c r="Q114" s="177">
        <f>VLOOKUP($D114,'2024Data to Complete Appendix C'!$C$8:$Q$313,13,FALSE)</f>
        <v>0.63540872599999998</v>
      </c>
      <c r="R114" s="176">
        <f>VLOOKUP($D114,'2024Data to Complete Appendix C'!$C$8:$Q$313,14,FALSE)</f>
        <v>2.2999999999999998</v>
      </c>
      <c r="S114" s="177">
        <f>VLOOKUP($D114,'2024Data to Complete Appendix C'!$C$8:$Q$313,15,FALSE)</f>
        <v>0.65345200000000003</v>
      </c>
      <c r="T114" s="175">
        <f>IFERROR(VLOOKUP($D114,'2024_Lodging_by_WUP'!$A:$D,4,FALSE),0)</f>
        <v>425</v>
      </c>
      <c r="U114" s="175">
        <f t="shared" si="1"/>
        <v>621.11202966500002</v>
      </c>
      <c r="V114" s="178">
        <f>IFERROR(VLOOKUP($D114,Total_DU!$B$5:$AB$171,24,0),0)</f>
        <v>3144</v>
      </c>
      <c r="W114" s="178">
        <f>IFERROR(VLOOKUP($D114,Total_DU!$B$5:$AB$174,25,0),0)</f>
        <v>3144</v>
      </c>
      <c r="X114" s="178">
        <f>IFERROR(VLOOKUP($D114,Total_DU!$B$5:$AB$174,26,0),0)</f>
        <v>3144</v>
      </c>
      <c r="Y114" s="178">
        <f>IFERROR(VLOOKUP($D114,Total_DU!$B$5:$AB$174,27,0),0)</f>
        <v>3027</v>
      </c>
      <c r="Z114" s="178">
        <f>IFERROR(VLOOKUP($D114,Population!$B$5:$AA$175,23,FALSE),0)</f>
        <v>7732</v>
      </c>
      <c r="AA114" s="178">
        <f>IFERROR(VLOOKUP($D114,Population!$B$5:$AA$175,24,FALSE),0)</f>
        <v>7626</v>
      </c>
      <c r="AB114" s="178">
        <f>IFERROR(VLOOKUP($D114,Population!$B$5:$AA$175,25,FALSE),0)</f>
        <v>7626</v>
      </c>
      <c r="AC114" s="178">
        <f>IFERROR(VLOOKUP($D114,Population!$B$5:$AA$175,26,FALSE),0)</f>
        <v>7427.226515143353</v>
      </c>
    </row>
    <row r="115" spans="1:29" x14ac:dyDescent="0.2">
      <c r="A115" s="1" t="s">
        <v>521</v>
      </c>
      <c r="B115" s="1" t="s">
        <v>546</v>
      </c>
      <c r="C115" s="1" t="s">
        <v>547</v>
      </c>
      <c r="D115" s="1">
        <v>3759</v>
      </c>
      <c r="E115" s="1">
        <v>2024</v>
      </c>
      <c r="F115" s="175">
        <f>VLOOKUP($D115,'2024Data to Complete Appendix C'!$C$8:$Q$313,2,FALSE)</f>
        <v>4145</v>
      </c>
      <c r="G115" s="175">
        <f>VLOOKUP($D115,'2024Data to Complete Appendix C'!$C$8:$Q$313,3,FALSE)</f>
        <v>1748</v>
      </c>
      <c r="H115" s="175">
        <f>VLOOKUP($D115,'2024Data to Complete Appendix C'!$C$8:$Q$313,4,FALSE)</f>
        <v>0</v>
      </c>
      <c r="I115" s="175">
        <f>VLOOKUP($D115,'2024Data to Complete Appendix C'!$C$8:$Q$313,5,FALSE)</f>
        <v>1899</v>
      </c>
      <c r="J115" s="176">
        <f>VLOOKUP($D115,'2024Data to Complete Appendix C'!$C$8:$Q$313,6,FALSE)</f>
        <v>2.3712800000000001</v>
      </c>
      <c r="K115" s="176">
        <f>VLOOKUP($D115,'2024Data to Complete Appendix C'!$C$8:$Q$313,7,FALSE)</f>
        <v>1.95</v>
      </c>
      <c r="L115" s="176">
        <f>VLOOKUP($D115,'2024Data to Complete Appendix C'!$C$8:$Q$313,8,FALSE)</f>
        <v>1.0723400000000001</v>
      </c>
      <c r="M115" s="175">
        <f>VLOOKUP($D115,'2024Data to Complete Appendix C'!$C$8:$Q$313,9,FALSE)</f>
        <v>153.76599999999999</v>
      </c>
      <c r="N115" s="176">
        <f>VLOOKUP($D115,'2024Data to Complete Appendix C'!$C$8:$Q$313,10,FALSE)</f>
        <v>8.0854499999999996E-2</v>
      </c>
      <c r="O115" s="177">
        <f>VLOOKUP($D115,'2024Data to Complete Appendix C'!$C$8:$Q$313,11,FALSE)</f>
        <v>0.56699999999999995</v>
      </c>
      <c r="P115" s="177">
        <f>VLOOKUP($D115,'2024Data to Complete Appendix C'!$C$8:$Q$313,12,FALSE)</f>
        <v>0.77268000000000003</v>
      </c>
      <c r="Q115" s="177">
        <f>VLOOKUP($D115,'2024Data to Complete Appendix C'!$C$8:$Q$313,13,FALSE)</f>
        <v>0.63540872599999998</v>
      </c>
      <c r="R115" s="176">
        <f>VLOOKUP($D115,'2024Data to Complete Appendix C'!$C$8:$Q$313,14,FALSE)</f>
        <v>2.2999999999999998</v>
      </c>
      <c r="S115" s="177">
        <f>VLOOKUP($D115,'2024Data to Complete Appendix C'!$C$8:$Q$313,15,FALSE)</f>
        <v>-0.39261600000000002</v>
      </c>
      <c r="T115" s="175">
        <f>IFERROR(VLOOKUP($D115,'2024_Lodging_by_WUP'!$A:$D,4,FALSE),0)</f>
        <v>0</v>
      </c>
      <c r="U115" s="175">
        <f t="shared" si="1"/>
        <v>0</v>
      </c>
      <c r="V115" s="178" t="str">
        <f>IFERROR(VLOOKUP($D115,Total_DU!$B$5:$AB$171,24,0),0)</f>
        <v>NA</v>
      </c>
      <c r="W115" s="178" t="str">
        <f>IFERROR(VLOOKUP($D115,Total_DU!$B$5:$AB$174,25,0),0)</f>
        <v>NA</v>
      </c>
      <c r="X115" s="178" t="str">
        <f>IFERROR(VLOOKUP($D115,Total_DU!$B$5:$AB$174,26,0),0)</f>
        <v>NA</v>
      </c>
      <c r="Y115" s="178" t="str">
        <f>IFERROR(VLOOKUP($D115,Total_DU!$B$5:$AB$174,27,0),0)</f>
        <v>NA</v>
      </c>
      <c r="Z115" s="178" t="str">
        <f>IFERROR(VLOOKUP($D115,Population!$B$5:$AA$175,23,FALSE),0)</f>
        <v>NA</v>
      </c>
      <c r="AA115" s="178" t="str">
        <f>IFERROR(VLOOKUP($D115,Population!$B$5:$AA$175,24,FALSE),0)</f>
        <v>NA</v>
      </c>
      <c r="AB115" s="178" t="str">
        <f>IFERROR(VLOOKUP($D115,Population!$B$5:$AA$175,25,FALSE),0)</f>
        <v>NA</v>
      </c>
      <c r="AC115" s="178" t="str">
        <f>IFERROR(VLOOKUP($D115,Population!$B$5:$AA$175,26,FALSE),0)</f>
        <v>NA</v>
      </c>
    </row>
    <row r="116" spans="1:29" x14ac:dyDescent="0.2">
      <c r="A116" s="1" t="s">
        <v>521</v>
      </c>
      <c r="B116" s="1" t="s">
        <v>548</v>
      </c>
      <c r="C116" s="1" t="s">
        <v>549</v>
      </c>
      <c r="D116" s="1">
        <v>4550</v>
      </c>
      <c r="E116" s="1">
        <v>2024</v>
      </c>
      <c r="F116" s="175">
        <f>VLOOKUP($D116,'2024Data to Complete Appendix C'!$C$8:$Q$313,2,FALSE)</f>
        <v>1862</v>
      </c>
      <c r="G116" s="175">
        <f>VLOOKUP($D116,'2024Data to Complete Appendix C'!$C$8:$Q$313,3,FALSE)</f>
        <v>753</v>
      </c>
      <c r="H116" s="175">
        <f>VLOOKUP($D116,'2024Data to Complete Appendix C'!$C$8:$Q$313,4,FALSE)</f>
        <v>21</v>
      </c>
      <c r="I116" s="175">
        <f>VLOOKUP($D116,'2024Data to Complete Appendix C'!$C$8:$Q$313,5,FALSE)</f>
        <v>817</v>
      </c>
      <c r="J116" s="176">
        <f>VLOOKUP($D116,'2024Data to Complete Appendix C'!$C$8:$Q$313,6,FALSE)</f>
        <v>2.4727800000000002</v>
      </c>
      <c r="K116" s="176">
        <f>VLOOKUP($D116,'2024Data to Complete Appendix C'!$C$8:$Q$313,7,FALSE)</f>
        <v>1.95</v>
      </c>
      <c r="L116" s="176">
        <f>VLOOKUP($D116,'2024Data to Complete Appendix C'!$C$8:$Q$313,8,FALSE)</f>
        <v>1.1332199999999999</v>
      </c>
      <c r="M116" s="175">
        <f>VLOOKUP($D116,'2024Data to Complete Appendix C'!$C$8:$Q$313,9,FALSE)</f>
        <v>127.209</v>
      </c>
      <c r="N116" s="176">
        <f>VLOOKUP($D116,'2024Data to Complete Appendix C'!$C$8:$Q$313,10,FALSE)</f>
        <v>0.14452200000000001</v>
      </c>
      <c r="O116" s="177">
        <f>VLOOKUP($D116,'2024Data to Complete Appendix C'!$C$8:$Q$313,11,FALSE)</f>
        <v>0.56699999999999995</v>
      </c>
      <c r="P116" s="177">
        <f>VLOOKUP($D116,'2024Data to Complete Appendix C'!$C$8:$Q$313,12,FALSE)</f>
        <v>0.77268000000000003</v>
      </c>
      <c r="Q116" s="177">
        <f>VLOOKUP($D116,'2024Data to Complete Appendix C'!$C$8:$Q$313,13,FALSE)</f>
        <v>0.63540872599999998</v>
      </c>
      <c r="R116" s="176">
        <f>VLOOKUP($D116,'2024Data to Complete Appendix C'!$C$8:$Q$313,14,FALSE)</f>
        <v>2.2999999999999998</v>
      </c>
      <c r="S116" s="177">
        <f>VLOOKUP($D116,'2024Data to Complete Appendix C'!$C$8:$Q$313,15,FALSE)</f>
        <v>2.5097600000000001E-2</v>
      </c>
      <c r="T116" s="175">
        <f>IFERROR(VLOOKUP($D116,'2024_Lodging_by_WUP'!$A:$D,4,FALSE),0)</f>
        <v>0</v>
      </c>
      <c r="U116" s="175">
        <f t="shared" si="1"/>
        <v>0</v>
      </c>
      <c r="V116" s="178">
        <f>IFERROR(VLOOKUP($D116,Total_DU!$B$5:$AB$171,24,0),0)</f>
        <v>654</v>
      </c>
      <c r="W116" s="178">
        <f>IFERROR(VLOOKUP($D116,Total_DU!$B$5:$AB$174,25,0),0)</f>
        <v>686</v>
      </c>
      <c r="X116" s="178">
        <f>IFERROR(VLOOKUP($D116,Total_DU!$B$5:$AB$174,26,0),0)</f>
        <v>699</v>
      </c>
      <c r="Y116" s="178">
        <f>IFERROR(VLOOKUP($D116,Total_DU!$B$5:$AB$174,27,0),0)</f>
        <v>748</v>
      </c>
      <c r="Z116" s="178">
        <f>IFERROR(VLOOKUP($D116,Population!$B$5:$AA$175,23,FALSE),0)</f>
        <v>2455.2399104622136</v>
      </c>
      <c r="AA116" s="178">
        <f>IFERROR(VLOOKUP($D116,Population!$B$5:$AA$175,24,FALSE),0)</f>
        <v>2503</v>
      </c>
      <c r="AB116" s="178">
        <f>IFERROR(VLOOKUP($D116,Population!$B$5:$AA$175,25,FALSE),0)</f>
        <v>2551</v>
      </c>
      <c r="AC116" s="178">
        <f>IFERROR(VLOOKUP($D116,Population!$B$5:$AA$175,26,FALSE),0)</f>
        <v>1768.8989388847758</v>
      </c>
    </row>
    <row r="117" spans="1:29" x14ac:dyDescent="0.2">
      <c r="A117" s="1" t="s">
        <v>521</v>
      </c>
      <c r="B117" s="1" t="s">
        <v>550</v>
      </c>
      <c r="C117" s="1" t="s">
        <v>452</v>
      </c>
      <c r="D117" s="1">
        <v>4668</v>
      </c>
      <c r="E117" s="1">
        <v>2024</v>
      </c>
      <c r="F117" s="175">
        <f>VLOOKUP($D117,'2024Data to Complete Appendix C'!$C$8:$Q$313,2,FALSE)</f>
        <v>1621</v>
      </c>
      <c r="G117" s="175">
        <f>VLOOKUP($D117,'2024Data to Complete Appendix C'!$C$8:$Q$313,3,FALSE)</f>
        <v>674</v>
      </c>
      <c r="H117" s="175">
        <f>VLOOKUP($D117,'2024Data to Complete Appendix C'!$C$8:$Q$313,4,FALSE)</f>
        <v>0</v>
      </c>
      <c r="I117" s="175">
        <f>VLOOKUP($D117,'2024Data to Complete Appendix C'!$C$8:$Q$313,5,FALSE)</f>
        <v>760</v>
      </c>
      <c r="J117" s="176">
        <f>VLOOKUP($D117,'2024Data to Complete Appendix C'!$C$8:$Q$313,6,FALSE)</f>
        <v>2.4050400000000001</v>
      </c>
      <c r="K117" s="176">
        <f>VLOOKUP($D117,'2024Data to Complete Appendix C'!$C$8:$Q$313,7,FALSE)</f>
        <v>1.95</v>
      </c>
      <c r="L117" s="176">
        <f>VLOOKUP($D117,'2024Data to Complete Appendix C'!$C$8:$Q$313,8,FALSE)</f>
        <v>1.13436</v>
      </c>
      <c r="M117" s="175">
        <f>VLOOKUP($D117,'2024Data to Complete Appendix C'!$C$8:$Q$313,9,FALSE)</f>
        <v>111.69</v>
      </c>
      <c r="N117" s="176">
        <f>VLOOKUP($D117,'2024Data to Complete Appendix C'!$C$8:$Q$313,10,FALSE)</f>
        <v>0.142156</v>
      </c>
      <c r="O117" s="177">
        <f>VLOOKUP($D117,'2024Data to Complete Appendix C'!$C$8:$Q$313,11,FALSE)</f>
        <v>0.56699999999999995</v>
      </c>
      <c r="P117" s="177">
        <f>VLOOKUP($D117,'2024Data to Complete Appendix C'!$C$8:$Q$313,12,FALSE)</f>
        <v>0.77268000000000003</v>
      </c>
      <c r="Q117" s="177">
        <f>VLOOKUP($D117,'2024Data to Complete Appendix C'!$C$8:$Q$313,13,FALSE)</f>
        <v>0.63540872599999998</v>
      </c>
      <c r="R117" s="176">
        <f>VLOOKUP($D117,'2024Data to Complete Appendix C'!$C$8:$Q$313,14,FALSE)</f>
        <v>2.2999999999999998</v>
      </c>
      <c r="S117" s="177">
        <f>VLOOKUP($D117,'2024Data to Complete Appendix C'!$C$8:$Q$313,15,FALSE)</f>
        <v>-0.427481</v>
      </c>
      <c r="T117" s="175">
        <f>IFERROR(VLOOKUP($D117,'2024_Lodging_by_WUP'!$A:$D,4,FALSE),0)</f>
        <v>0</v>
      </c>
      <c r="U117" s="175">
        <f t="shared" si="1"/>
        <v>0</v>
      </c>
      <c r="V117" s="178" t="str">
        <f>IFERROR(VLOOKUP($D117,Total_DU!$B$5:$AB$171,24,0),0)</f>
        <v>NA</v>
      </c>
      <c r="W117" s="178" t="str">
        <f>IFERROR(VLOOKUP($D117,Total_DU!$B$5:$AB$174,25,0),0)</f>
        <v>NA</v>
      </c>
      <c r="X117" s="178" t="str">
        <f>IFERROR(VLOOKUP($D117,Total_DU!$B$5:$AB$174,26,0),0)</f>
        <v>NA</v>
      </c>
      <c r="Y117" s="178" t="str">
        <f>IFERROR(VLOOKUP($D117,Total_DU!$B$5:$AB$174,27,0),0)</f>
        <v>NA</v>
      </c>
      <c r="Z117" s="178" t="str">
        <f>IFERROR(VLOOKUP($D117,Population!$B$5:$AA$175,23,FALSE),0)</f>
        <v>NA</v>
      </c>
      <c r="AA117" s="178" t="str">
        <f>IFERROR(VLOOKUP($D117,Population!$B$5:$AA$175,24,FALSE),0)</f>
        <v>NA</v>
      </c>
      <c r="AB117" s="178" t="str">
        <f>IFERROR(VLOOKUP($D117,Population!$B$5:$AA$175,25,FALSE),0)</f>
        <v>NA</v>
      </c>
      <c r="AC117" s="178" t="str">
        <f>IFERROR(VLOOKUP($D117,Population!$B$5:$AA$175,26,FALSE),0)</f>
        <v>NA</v>
      </c>
    </row>
    <row r="118" spans="1:29" x14ac:dyDescent="0.2">
      <c r="A118" s="1" t="s">
        <v>521</v>
      </c>
      <c r="B118" s="1" t="s">
        <v>551</v>
      </c>
      <c r="C118" s="1" t="s">
        <v>552</v>
      </c>
      <c r="D118" s="1">
        <v>4669</v>
      </c>
      <c r="E118" s="1">
        <v>2024</v>
      </c>
      <c r="F118" s="175">
        <f>VLOOKUP($D118,'2024Data to Complete Appendix C'!$C$8:$Q$313,2,FALSE)</f>
        <v>9748</v>
      </c>
      <c r="G118" s="175">
        <f>VLOOKUP($D118,'2024Data to Complete Appendix C'!$C$8:$Q$313,3,FALSE)</f>
        <v>4865</v>
      </c>
      <c r="H118" s="175">
        <f>VLOOKUP($D118,'2024Data to Complete Appendix C'!$C$8:$Q$313,4,FALSE)</f>
        <v>185</v>
      </c>
      <c r="I118" s="175">
        <f>VLOOKUP($D118,'2024Data to Complete Appendix C'!$C$8:$Q$313,5,FALSE)</f>
        <v>6225</v>
      </c>
      <c r="J118" s="176">
        <f>VLOOKUP($D118,'2024Data to Complete Appendix C'!$C$8:$Q$313,6,FALSE)</f>
        <v>2.0036999999999998</v>
      </c>
      <c r="K118" s="176">
        <f>VLOOKUP($D118,'2024Data to Complete Appendix C'!$C$8:$Q$313,7,FALSE)</f>
        <v>1.95</v>
      </c>
      <c r="L118" s="176">
        <f>VLOOKUP($D118,'2024Data to Complete Appendix C'!$C$8:$Q$313,8,FALSE)</f>
        <v>1.0385500000000001</v>
      </c>
      <c r="M118" s="175">
        <f>VLOOKUP($D118,'2024Data to Complete Appendix C'!$C$8:$Q$313,9,FALSE)</f>
        <v>192.70099999999999</v>
      </c>
      <c r="N118" s="176">
        <f>VLOOKUP($D118,'2024Data to Complete Appendix C'!$C$8:$Q$313,10,FALSE)</f>
        <v>3.8100500000000002E-2</v>
      </c>
      <c r="O118" s="177">
        <f>VLOOKUP($D118,'2024Data to Complete Appendix C'!$C$8:$Q$313,11,FALSE)</f>
        <v>0.56699999999999995</v>
      </c>
      <c r="P118" s="177">
        <f>VLOOKUP($D118,'2024Data to Complete Appendix C'!$C$8:$Q$313,12,FALSE)</f>
        <v>0.77268000000000003</v>
      </c>
      <c r="Q118" s="177">
        <f>VLOOKUP($D118,'2024Data to Complete Appendix C'!$C$8:$Q$313,13,FALSE)</f>
        <v>0.63540872599999998</v>
      </c>
      <c r="R118" s="176">
        <f>VLOOKUP($D118,'2024Data to Complete Appendix C'!$C$8:$Q$313,14,FALSE)</f>
        <v>2.2999999999999998</v>
      </c>
      <c r="S118" s="177">
        <f>VLOOKUP($D118,'2024Data to Complete Appendix C'!$C$8:$Q$313,15,FALSE)</f>
        <v>-8.1132499999999996E-2</v>
      </c>
      <c r="T118" s="175">
        <f>IFERROR(VLOOKUP($D118,'2024_Lodging_by_WUP'!$A:$D,4,FALSE),0)</f>
        <v>95</v>
      </c>
      <c r="U118" s="175">
        <f t="shared" si="1"/>
        <v>138.836806631</v>
      </c>
      <c r="V118" s="178">
        <f>IFERROR(VLOOKUP($D118,Total_DU!$B$5:$AB$171,24,0),0)</f>
        <v>3469</v>
      </c>
      <c r="W118" s="178">
        <f>IFERROR(VLOOKUP($D118,Total_DU!$B$5:$AB$174,25,0),0)</f>
        <v>3422</v>
      </c>
      <c r="X118" s="178">
        <f>IFERROR(VLOOKUP($D118,Total_DU!$B$5:$AB$174,26,0),0)</f>
        <v>3113</v>
      </c>
      <c r="Y118" s="178">
        <f>IFERROR(VLOOKUP($D118,Total_DU!$B$5:$AB$174,27,0),0)</f>
        <v>3517</v>
      </c>
      <c r="Z118" s="178">
        <f>IFERROR(VLOOKUP($D118,Population!$B$5:$AA$175,23,FALSE),0)</f>
        <v>7277.3001241078655</v>
      </c>
      <c r="AA118" s="178">
        <f>IFERROR(VLOOKUP($D118,Population!$B$5:$AA$175,24,FALSE),0)</f>
        <v>7169</v>
      </c>
      <c r="AB118" s="178">
        <f>IFERROR(VLOOKUP($D118,Population!$B$5:$AA$175,25,FALSE),0)</f>
        <v>6559</v>
      </c>
      <c r="AC118" s="178">
        <f>IFERROR(VLOOKUP($D118,Population!$B$5:$AA$175,26,FALSE),0)</f>
        <v>7247.5022840696429</v>
      </c>
    </row>
    <row r="119" spans="1:29" x14ac:dyDescent="0.2">
      <c r="A119" s="1" t="s">
        <v>521</v>
      </c>
      <c r="B119" s="1" t="s">
        <v>553</v>
      </c>
      <c r="C119" s="1" t="s">
        <v>554</v>
      </c>
      <c r="D119" s="1">
        <v>4734</v>
      </c>
      <c r="E119" s="1">
        <v>2024</v>
      </c>
      <c r="F119" s="175">
        <f>VLOOKUP($D119,'2024Data to Complete Appendix C'!$C$8:$Q$313,2,FALSE)</f>
        <v>38668</v>
      </c>
      <c r="G119" s="175">
        <f>VLOOKUP($D119,'2024Data to Complete Appendix C'!$C$8:$Q$313,3,FALSE)</f>
        <v>18476</v>
      </c>
      <c r="H119" s="175">
        <f>VLOOKUP($D119,'2024Data to Complete Appendix C'!$C$8:$Q$313,4,FALSE)</f>
        <v>951</v>
      </c>
      <c r="I119" s="175">
        <f>VLOOKUP($D119,'2024Data to Complete Appendix C'!$C$8:$Q$313,5,FALSE)</f>
        <v>21234</v>
      </c>
      <c r="J119" s="176">
        <f>VLOOKUP($D119,'2024Data to Complete Appendix C'!$C$8:$Q$313,6,FALSE)</f>
        <v>2.0928800000000001</v>
      </c>
      <c r="K119" s="176">
        <f>VLOOKUP($D119,'2024Data to Complete Appendix C'!$C$8:$Q$313,7,FALSE)</f>
        <v>1.95</v>
      </c>
      <c r="L119" s="176">
        <f>VLOOKUP($D119,'2024Data to Complete Appendix C'!$C$8:$Q$313,8,FALSE)</f>
        <v>1.0649599999999999</v>
      </c>
      <c r="M119" s="175">
        <f>VLOOKUP($D119,'2024Data to Complete Appendix C'!$C$8:$Q$313,9,FALSE)</f>
        <v>1288.1099999999999</v>
      </c>
      <c r="N119" s="176">
        <f>VLOOKUP($D119,'2024Data to Complete Appendix C'!$C$8:$Q$313,10,FALSE)</f>
        <v>6.5174099999999999E-2</v>
      </c>
      <c r="O119" s="177">
        <f>VLOOKUP($D119,'2024Data to Complete Appendix C'!$C$8:$Q$313,11,FALSE)</f>
        <v>0.56699999999999995</v>
      </c>
      <c r="P119" s="177">
        <f>VLOOKUP($D119,'2024Data to Complete Appendix C'!$C$8:$Q$313,12,FALSE)</f>
        <v>0.77268000000000003</v>
      </c>
      <c r="Q119" s="177">
        <f>VLOOKUP($D119,'2024Data to Complete Appendix C'!$C$8:$Q$313,13,FALSE)</f>
        <v>0.63540872599999998</v>
      </c>
      <c r="R119" s="176">
        <f>VLOOKUP($D119,'2024Data to Complete Appendix C'!$C$8:$Q$313,14,FALSE)</f>
        <v>2.2999999999999998</v>
      </c>
      <c r="S119" s="177">
        <f>VLOOKUP($D119,'2024Data to Complete Appendix C'!$C$8:$Q$313,15,FALSE)</f>
        <v>0.163073</v>
      </c>
      <c r="T119" s="175">
        <f>IFERROR(VLOOKUP($D119,'2024_Lodging_by_WUP'!$A:$D,4,FALSE),0)</f>
        <v>602</v>
      </c>
      <c r="U119" s="175">
        <f t="shared" si="1"/>
        <v>879.78692201959984</v>
      </c>
      <c r="V119" s="178">
        <f>IFERROR(VLOOKUP($D119,Total_DU!$B$5:$AB$171,24,0),0)</f>
        <v>14756</v>
      </c>
      <c r="W119" s="178">
        <f>IFERROR(VLOOKUP($D119,Total_DU!$B$5:$AB$174,25,0),0)</f>
        <v>15020</v>
      </c>
      <c r="X119" s="178">
        <f>IFERROR(VLOOKUP($D119,Total_DU!$B$5:$AB$174,26,0),0)</f>
        <v>14936</v>
      </c>
      <c r="Y119" s="178">
        <f>IFERROR(VLOOKUP($D119,Total_DU!$B$5:$AB$174,27,0),0)</f>
        <v>16061</v>
      </c>
      <c r="Z119" s="178">
        <f>IFERROR(VLOOKUP($D119,Population!$B$5:$AA$175,23,FALSE),0)</f>
        <v>32782.824421360681</v>
      </c>
      <c r="AA119" s="178">
        <f>IFERROR(VLOOKUP($D119,Population!$B$5:$AA$175,24,FALSE),0)</f>
        <v>33039</v>
      </c>
      <c r="AB119" s="178">
        <f>IFERROR(VLOOKUP($D119,Population!$B$5:$AA$175,25,FALSE),0)</f>
        <v>33334</v>
      </c>
      <c r="AC119" s="178">
        <f>IFERROR(VLOOKUP($D119,Population!$B$5:$AA$175,26,FALSE),0)</f>
        <v>35360.056513446136</v>
      </c>
    </row>
    <row r="120" spans="1:29" x14ac:dyDescent="0.2">
      <c r="A120" s="1" t="s">
        <v>521</v>
      </c>
      <c r="B120" s="1" t="s">
        <v>555</v>
      </c>
      <c r="C120" s="1" t="s">
        <v>556</v>
      </c>
      <c r="D120" s="1">
        <v>5953</v>
      </c>
      <c r="E120" s="1">
        <v>2024</v>
      </c>
      <c r="F120" s="175">
        <f>VLOOKUP($D120,'2024Data to Complete Appendix C'!$C$8:$Q$313,2,FALSE)</f>
        <v>878</v>
      </c>
      <c r="G120" s="175">
        <f>VLOOKUP($D120,'2024Data to Complete Appendix C'!$C$8:$Q$313,3,FALSE)</f>
        <v>519</v>
      </c>
      <c r="H120" s="175">
        <f>VLOOKUP($D120,'2024Data to Complete Appendix C'!$C$8:$Q$313,4,FALSE)</f>
        <v>0</v>
      </c>
      <c r="I120" s="175">
        <f>VLOOKUP($D120,'2024Data to Complete Appendix C'!$C$8:$Q$313,5,FALSE)</f>
        <v>598</v>
      </c>
      <c r="J120" s="176">
        <f>VLOOKUP($D120,'2024Data to Complete Appendix C'!$C$8:$Q$313,6,FALSE)</f>
        <v>1.69171</v>
      </c>
      <c r="K120" s="176">
        <f>VLOOKUP($D120,'2024Data to Complete Appendix C'!$C$8:$Q$313,7,FALSE)</f>
        <v>1.95</v>
      </c>
      <c r="L120" s="176">
        <f>VLOOKUP($D120,'2024Data to Complete Appendix C'!$C$8:$Q$313,8,FALSE)</f>
        <v>1.0568900000000001</v>
      </c>
      <c r="M120" s="175">
        <f>VLOOKUP($D120,'2024Data to Complete Appendix C'!$C$8:$Q$313,9,FALSE)</f>
        <v>25.613800000000001</v>
      </c>
      <c r="N120" s="176">
        <f>VLOOKUP($D120,'2024Data to Complete Appendix C'!$C$8:$Q$313,10,FALSE)</f>
        <v>4.7031099999999999E-2</v>
      </c>
      <c r="O120" s="177">
        <f>VLOOKUP($D120,'2024Data to Complete Appendix C'!$C$8:$Q$313,11,FALSE)</f>
        <v>0.56699999999999995</v>
      </c>
      <c r="P120" s="177">
        <f>VLOOKUP($D120,'2024Data to Complete Appendix C'!$C$8:$Q$313,12,FALSE)</f>
        <v>0.77268000000000003</v>
      </c>
      <c r="Q120" s="177">
        <f>VLOOKUP($D120,'2024Data to Complete Appendix C'!$C$8:$Q$313,13,FALSE)</f>
        <v>0.63540872599999998</v>
      </c>
      <c r="R120" s="176">
        <f>VLOOKUP($D120,'2024Data to Complete Appendix C'!$C$8:$Q$313,14,FALSE)</f>
        <v>2.2999999999999998</v>
      </c>
      <c r="S120" s="177">
        <f>VLOOKUP($D120,'2024Data to Complete Appendix C'!$C$8:$Q$313,15,FALSE)</f>
        <v>-0.214113</v>
      </c>
      <c r="T120" s="175">
        <f>IFERROR(VLOOKUP($D120,'2024_Lodging_by_WUP'!$A:$D,4,FALSE),0)</f>
        <v>0</v>
      </c>
      <c r="U120" s="175">
        <f t="shared" si="1"/>
        <v>0</v>
      </c>
      <c r="V120" s="178">
        <f>IFERROR(VLOOKUP($D120,Total_DU!$B$5:$AB$171,24,0),0)</f>
        <v>0</v>
      </c>
      <c r="W120" s="178">
        <f>IFERROR(VLOOKUP($D120,Total_DU!$B$5:$AB$174,25,0),0)</f>
        <v>0</v>
      </c>
      <c r="X120" s="178">
        <f>IFERROR(VLOOKUP($D120,Total_DU!$B$5:$AB$174,26,0),0)</f>
        <v>0</v>
      </c>
      <c r="Y120" s="178">
        <f>IFERROR(VLOOKUP($D120,Total_DU!$B$5:$AB$174,27,0),0)</f>
        <v>0</v>
      </c>
      <c r="Z120" s="178">
        <f>IFERROR(VLOOKUP($D120,Population!$B$5:$AA$175,23,FALSE),0)</f>
        <v>0</v>
      </c>
      <c r="AA120" s="178">
        <f>IFERROR(VLOOKUP($D120,Population!$B$5:$AA$175,24,FALSE),0)</f>
        <v>0</v>
      </c>
      <c r="AB120" s="178">
        <f>IFERROR(VLOOKUP($D120,Population!$B$5:$AA$175,25,FALSE),0)</f>
        <v>0</v>
      </c>
      <c r="AC120" s="178">
        <f>IFERROR(VLOOKUP($D120,Population!$B$5:$AA$175,26,FALSE),0)</f>
        <v>0</v>
      </c>
    </row>
    <row r="121" spans="1:29" x14ac:dyDescent="0.2">
      <c r="A121" s="1" t="s">
        <v>521</v>
      </c>
      <c r="B121" s="1" t="s">
        <v>557</v>
      </c>
      <c r="C121" s="1" t="s">
        <v>558</v>
      </c>
      <c r="D121" s="1">
        <v>6040</v>
      </c>
      <c r="E121" s="1">
        <v>2024</v>
      </c>
      <c r="F121" s="175">
        <f>VLOOKUP($D121,'2024Data to Complete Appendix C'!$C$8:$Q$313,2,FALSE)</f>
        <v>33348</v>
      </c>
      <c r="G121" s="175">
        <f>VLOOKUP($D121,'2024Data to Complete Appendix C'!$C$8:$Q$313,3,FALSE)</f>
        <v>15265</v>
      </c>
      <c r="H121" s="175">
        <f>VLOOKUP($D121,'2024Data to Complete Appendix C'!$C$8:$Q$313,4,FALSE)</f>
        <v>472</v>
      </c>
      <c r="I121" s="175">
        <f>VLOOKUP($D121,'2024Data to Complete Appendix C'!$C$8:$Q$313,5,FALSE)</f>
        <v>18656</v>
      </c>
      <c r="J121" s="176">
        <f>VLOOKUP($D121,'2024Data to Complete Appendix C'!$C$8:$Q$313,6,FALSE)</f>
        <v>2.1846100000000002</v>
      </c>
      <c r="K121" s="176">
        <f>VLOOKUP($D121,'2024Data to Complete Appendix C'!$C$8:$Q$313,7,FALSE)</f>
        <v>1.95</v>
      </c>
      <c r="L121" s="176">
        <f>VLOOKUP($D121,'2024Data to Complete Appendix C'!$C$8:$Q$313,8,FALSE)</f>
        <v>1.2976399999999999</v>
      </c>
      <c r="M121" s="175">
        <f>VLOOKUP($D121,'2024Data to Complete Appendix C'!$C$8:$Q$313,9,FALSE)</f>
        <v>5090.07</v>
      </c>
      <c r="N121" s="176">
        <f>VLOOKUP($D121,'2024Data to Complete Appendix C'!$C$8:$Q$313,10,FALSE)</f>
        <v>0.25006400000000001</v>
      </c>
      <c r="O121" s="177">
        <f>VLOOKUP($D121,'2024Data to Complete Appendix C'!$C$8:$Q$313,11,FALSE)</f>
        <v>0.56699999999999995</v>
      </c>
      <c r="P121" s="177">
        <f>VLOOKUP($D121,'2024Data to Complete Appendix C'!$C$8:$Q$313,12,FALSE)</f>
        <v>0.77268000000000003</v>
      </c>
      <c r="Q121" s="177">
        <f>VLOOKUP($D121,'2024Data to Complete Appendix C'!$C$8:$Q$313,13,FALSE)</f>
        <v>0.63540872599999998</v>
      </c>
      <c r="R121" s="176">
        <f>VLOOKUP($D121,'2024Data to Complete Appendix C'!$C$8:$Q$313,14,FALSE)</f>
        <v>2.2999999999999998</v>
      </c>
      <c r="S121" s="177">
        <f>VLOOKUP($D121,'2024Data to Complete Appendix C'!$C$8:$Q$313,15,FALSE)</f>
        <v>-1.4525700000000001E-2</v>
      </c>
      <c r="T121" s="175">
        <f>IFERROR(VLOOKUP($D121,'2024_Lodging_by_WUP'!$A:$D,4,FALSE),0)</f>
        <v>268</v>
      </c>
      <c r="U121" s="175">
        <f t="shared" si="1"/>
        <v>391.66593870639991</v>
      </c>
      <c r="V121" s="178">
        <f>IFERROR(VLOOKUP($D121,Total_DU!$B$5:$AB$171,24,0),0)</f>
        <v>13768</v>
      </c>
      <c r="W121" s="178">
        <f>IFERROR(VLOOKUP($D121,Total_DU!$B$5:$AB$174,25,0),0)</f>
        <v>14062</v>
      </c>
      <c r="X121" s="178">
        <f>IFERROR(VLOOKUP($D121,Total_DU!$B$5:$AB$174,26,0),0)</f>
        <v>14627</v>
      </c>
      <c r="Y121" s="178">
        <f>IFERROR(VLOOKUP($D121,Total_DU!$B$5:$AB$174,27,0),0)</f>
        <v>15306</v>
      </c>
      <c r="Z121" s="178">
        <f>IFERROR(VLOOKUP($D121,Population!$B$5:$AA$175,23,FALSE),0)</f>
        <v>28584</v>
      </c>
      <c r="AA121" s="178">
        <f>IFERROR(VLOOKUP($D121,Population!$B$5:$AA$175,24,FALSE),0)</f>
        <v>29117</v>
      </c>
      <c r="AB121" s="178">
        <f>IFERROR(VLOOKUP($D121,Population!$B$5:$AA$175,25,FALSE),0)</f>
        <v>30393</v>
      </c>
      <c r="AC121" s="178">
        <f>IFERROR(VLOOKUP($D121,Population!$B$5:$AA$175,26,FALSE),0)</f>
        <v>31688.808319905031</v>
      </c>
    </row>
    <row r="122" spans="1:29" x14ac:dyDescent="0.2">
      <c r="A122" s="1" t="s">
        <v>521</v>
      </c>
      <c r="B122" s="1" t="s">
        <v>559</v>
      </c>
      <c r="C122" s="1" t="s">
        <v>523</v>
      </c>
      <c r="D122" s="1">
        <v>6223</v>
      </c>
      <c r="E122" s="1">
        <v>2024</v>
      </c>
      <c r="F122" s="175">
        <f>VLOOKUP($D122,'2024Data to Complete Appendix C'!$C$8:$Q$313,2,FALSE)</f>
        <v>1343</v>
      </c>
      <c r="G122" s="175">
        <f>VLOOKUP($D122,'2024Data to Complete Appendix C'!$C$8:$Q$313,3,FALSE)</f>
        <v>701</v>
      </c>
      <c r="H122" s="175">
        <f>VLOOKUP($D122,'2024Data to Complete Appendix C'!$C$8:$Q$313,4,FALSE)</f>
        <v>0</v>
      </c>
      <c r="I122" s="175">
        <f>VLOOKUP($D122,'2024Data to Complete Appendix C'!$C$8:$Q$313,5,FALSE)</f>
        <v>967</v>
      </c>
      <c r="J122" s="176">
        <f>VLOOKUP($D122,'2024Data to Complete Appendix C'!$C$8:$Q$313,6,FALSE)</f>
        <v>1.9158299999999999</v>
      </c>
      <c r="K122" s="176">
        <f>VLOOKUP($D122,'2024Data to Complete Appendix C'!$C$8:$Q$313,7,FALSE)</f>
        <v>1.95</v>
      </c>
      <c r="L122" s="176">
        <f>VLOOKUP($D122,'2024Data to Complete Appendix C'!$C$8:$Q$313,8,FALSE)</f>
        <v>1</v>
      </c>
      <c r="M122" s="175">
        <f>VLOOKUP($D122,'2024Data to Complete Appendix C'!$C$8:$Q$313,9,FALSE)</f>
        <v>0</v>
      </c>
      <c r="N122" s="176">
        <f>VLOOKUP($D122,'2024Data to Complete Appendix C'!$C$8:$Q$313,10,FALSE)</f>
        <v>0</v>
      </c>
      <c r="O122" s="177">
        <f>VLOOKUP($D122,'2024Data to Complete Appendix C'!$C$8:$Q$313,11,FALSE)</f>
        <v>0.56699999999999995</v>
      </c>
      <c r="P122" s="177">
        <f>VLOOKUP($D122,'2024Data to Complete Appendix C'!$C$8:$Q$313,12,FALSE)</f>
        <v>0.77268000000000003</v>
      </c>
      <c r="Q122" s="177">
        <f>VLOOKUP($D122,'2024Data to Complete Appendix C'!$C$8:$Q$313,13,FALSE)</f>
        <v>0.63540872599999998</v>
      </c>
      <c r="R122" s="176">
        <f>VLOOKUP($D122,'2024Data to Complete Appendix C'!$C$8:$Q$313,14,FALSE)</f>
        <v>2.2999999999999998</v>
      </c>
      <c r="S122" s="177">
        <f>VLOOKUP($D122,'2024Data to Complete Appendix C'!$C$8:$Q$313,15,FALSE)</f>
        <v>-0.54213299999999998</v>
      </c>
      <c r="T122" s="175">
        <f>IFERROR(VLOOKUP($D122,'2024_Lodging_by_WUP'!$A:$D,4,FALSE),0)</f>
        <v>107</v>
      </c>
      <c r="U122" s="175">
        <f t="shared" si="1"/>
        <v>156.37408746859998</v>
      </c>
      <c r="V122" s="178">
        <f>IFERROR(VLOOKUP($D122,Total_DU!$B$5:$AB$171,24,0),0)</f>
        <v>0</v>
      </c>
      <c r="W122" s="178">
        <f>IFERROR(VLOOKUP($D122,Total_DU!$B$5:$AB$174,25,0),0)</f>
        <v>0</v>
      </c>
      <c r="X122" s="178">
        <f>IFERROR(VLOOKUP($D122,Total_DU!$B$5:$AB$174,26,0),0)</f>
        <v>0</v>
      </c>
      <c r="Y122" s="178">
        <f>IFERROR(VLOOKUP($D122,Total_DU!$B$5:$AB$174,27,0),0)</f>
        <v>0</v>
      </c>
      <c r="Z122" s="178">
        <f>IFERROR(VLOOKUP($D122,Population!$B$5:$AA$175,23,FALSE),0)</f>
        <v>0</v>
      </c>
      <c r="AA122" s="178">
        <f>IFERROR(VLOOKUP($D122,Population!$B$5:$AA$175,24,FALSE),0)</f>
        <v>0</v>
      </c>
      <c r="AB122" s="178">
        <f>IFERROR(VLOOKUP($D122,Population!$B$5:$AA$175,25,FALSE),0)</f>
        <v>0</v>
      </c>
      <c r="AC122" s="178">
        <f>IFERROR(VLOOKUP($D122,Population!$B$5:$AA$175,26,FALSE),0)</f>
        <v>0</v>
      </c>
    </row>
    <row r="123" spans="1:29" x14ac:dyDescent="0.2">
      <c r="A123" s="1" t="s">
        <v>521</v>
      </c>
      <c r="B123" s="1" t="s">
        <v>560</v>
      </c>
      <c r="C123" s="1" t="s">
        <v>561</v>
      </c>
      <c r="D123" s="1">
        <v>6640</v>
      </c>
      <c r="E123" s="1">
        <v>2024</v>
      </c>
      <c r="F123" s="175">
        <f>VLOOKUP($D123,'2024Data to Complete Appendix C'!$C$8:$Q$313,2,FALSE)</f>
        <v>529</v>
      </c>
      <c r="G123" s="175">
        <f>VLOOKUP($D123,'2024Data to Complete Appendix C'!$C$8:$Q$313,3,FALSE)</f>
        <v>307</v>
      </c>
      <c r="H123" s="175">
        <f>VLOOKUP($D123,'2024Data to Complete Appendix C'!$C$8:$Q$313,4,FALSE)</f>
        <v>0</v>
      </c>
      <c r="I123" s="175">
        <f>VLOOKUP($D123,'2024Data to Complete Appendix C'!$C$8:$Q$313,5,FALSE)</f>
        <v>427</v>
      </c>
      <c r="J123" s="176">
        <f>VLOOKUP($D123,'2024Data to Complete Appendix C'!$C$8:$Q$313,6,FALSE)</f>
        <v>1.7231300000000001</v>
      </c>
      <c r="K123" s="176">
        <f>VLOOKUP($D123,'2024Data to Complete Appendix C'!$C$8:$Q$313,7,FALSE)</f>
        <v>1.95</v>
      </c>
      <c r="L123" s="176">
        <f>VLOOKUP($D123,'2024Data to Complete Appendix C'!$C$8:$Q$313,8,FALSE)</f>
        <v>1.3102799999999999</v>
      </c>
      <c r="M123" s="175">
        <f>VLOOKUP($D123,'2024Data to Complete Appendix C'!$C$8:$Q$313,9,FALSE)</f>
        <v>84.174400000000006</v>
      </c>
      <c r="N123" s="176">
        <f>VLOOKUP($D123,'2024Data to Complete Appendix C'!$C$8:$Q$313,10,FALSE)</f>
        <v>0.21518399999999999</v>
      </c>
      <c r="O123" s="177">
        <f>VLOOKUP($D123,'2024Data to Complete Appendix C'!$C$8:$Q$313,11,FALSE)</f>
        <v>0.56699999999999995</v>
      </c>
      <c r="P123" s="177">
        <f>VLOOKUP($D123,'2024Data to Complete Appendix C'!$C$8:$Q$313,12,FALSE)</f>
        <v>0.77268000000000003</v>
      </c>
      <c r="Q123" s="177">
        <f>VLOOKUP($D123,'2024Data to Complete Appendix C'!$C$8:$Q$313,13,FALSE)</f>
        <v>0.63540872599999998</v>
      </c>
      <c r="R123" s="176">
        <f>VLOOKUP($D123,'2024Data to Complete Appendix C'!$C$8:$Q$313,14,FALSE)</f>
        <v>2.2999999999999998</v>
      </c>
      <c r="S123" s="177">
        <f>VLOOKUP($D123,'2024Data to Complete Appendix C'!$C$8:$Q$313,15,FALSE)</f>
        <v>-0.48082900000000001</v>
      </c>
      <c r="T123" s="175">
        <f>IFERROR(VLOOKUP($D123,'2024_Lodging_by_WUP'!$A:$D,4,FALSE),0)</f>
        <v>0</v>
      </c>
      <c r="U123" s="175">
        <f t="shared" si="1"/>
        <v>0</v>
      </c>
      <c r="V123" s="178">
        <f>IFERROR(VLOOKUP($D123,Total_DU!$B$5:$AB$171,24,0),0)</f>
        <v>0</v>
      </c>
      <c r="W123" s="178">
        <f>IFERROR(VLOOKUP($D123,Total_DU!$B$5:$AB$174,25,0),0)</f>
        <v>0</v>
      </c>
      <c r="X123" s="178">
        <f>IFERROR(VLOOKUP($D123,Total_DU!$B$5:$AB$174,26,0),0)</f>
        <v>0</v>
      </c>
      <c r="Y123" s="178">
        <f>IFERROR(VLOOKUP($D123,Total_DU!$B$5:$AB$174,27,0),0)</f>
        <v>0</v>
      </c>
      <c r="Z123" s="178">
        <f>IFERROR(VLOOKUP($D123,Population!$B$5:$AA$175,23,FALSE),0)</f>
        <v>0</v>
      </c>
      <c r="AA123" s="178">
        <f>IFERROR(VLOOKUP($D123,Population!$B$5:$AA$175,24,FALSE),0)</f>
        <v>0</v>
      </c>
      <c r="AB123" s="178">
        <f>IFERROR(VLOOKUP($D123,Population!$B$5:$AA$175,25,FALSE),0)</f>
        <v>0</v>
      </c>
      <c r="AC123" s="178">
        <f>IFERROR(VLOOKUP($D123,Population!$B$5:$AA$175,26,FALSE),0)</f>
        <v>0</v>
      </c>
    </row>
    <row r="124" spans="1:29" x14ac:dyDescent="0.2">
      <c r="A124" s="1" t="s">
        <v>521</v>
      </c>
      <c r="B124" s="1" t="s">
        <v>562</v>
      </c>
      <c r="C124" s="1" t="s">
        <v>452</v>
      </c>
      <c r="D124" s="1">
        <v>6867</v>
      </c>
      <c r="E124" s="1">
        <v>2024</v>
      </c>
      <c r="F124" s="175">
        <f>VLOOKUP($D124,'2024Data to Complete Appendix C'!$C$8:$Q$313,2,FALSE)</f>
        <v>1215</v>
      </c>
      <c r="G124" s="175">
        <f>VLOOKUP($D124,'2024Data to Complete Appendix C'!$C$8:$Q$313,3,FALSE)</f>
        <v>666</v>
      </c>
      <c r="H124" s="175">
        <f>VLOOKUP($D124,'2024Data to Complete Appendix C'!$C$8:$Q$313,4,FALSE)</f>
        <v>0</v>
      </c>
      <c r="I124" s="175">
        <f>VLOOKUP($D124,'2024Data to Complete Appendix C'!$C$8:$Q$313,5,FALSE)</f>
        <v>1142</v>
      </c>
      <c r="J124" s="176">
        <f>VLOOKUP($D124,'2024Data to Complete Appendix C'!$C$8:$Q$313,6,FALSE)</f>
        <v>1.8243199999999999</v>
      </c>
      <c r="K124" s="176">
        <f>VLOOKUP($D124,'2024Data to Complete Appendix C'!$C$8:$Q$313,7,FALSE)</f>
        <v>1.95</v>
      </c>
      <c r="L124" s="176">
        <f>VLOOKUP($D124,'2024Data to Complete Appendix C'!$C$8:$Q$313,8,FALSE)</f>
        <v>1.2678100000000001</v>
      </c>
      <c r="M124" s="175">
        <f>VLOOKUP($D124,'2024Data to Complete Appendix C'!$C$8:$Q$313,9,FALSE)</f>
        <v>166.86799999999999</v>
      </c>
      <c r="N124" s="176">
        <f>VLOOKUP($D124,'2024Data to Complete Appendix C'!$C$8:$Q$313,10,FALSE)</f>
        <v>0.200354</v>
      </c>
      <c r="O124" s="177">
        <f>VLOOKUP($D124,'2024Data to Complete Appendix C'!$C$8:$Q$313,11,FALSE)</f>
        <v>0.56699999999999995</v>
      </c>
      <c r="P124" s="177">
        <f>VLOOKUP($D124,'2024Data to Complete Appendix C'!$C$8:$Q$313,12,FALSE)</f>
        <v>0.77268000000000003</v>
      </c>
      <c r="Q124" s="177">
        <f>VLOOKUP($D124,'2024Data to Complete Appendix C'!$C$8:$Q$313,13,FALSE)</f>
        <v>0.63540872599999998</v>
      </c>
      <c r="R124" s="176">
        <f>VLOOKUP($D124,'2024Data to Complete Appendix C'!$C$8:$Q$313,14,FALSE)</f>
        <v>2.2999999999999998</v>
      </c>
      <c r="S124" s="177">
        <f>VLOOKUP($D124,'2024Data to Complete Appendix C'!$C$8:$Q$313,15,FALSE)</f>
        <v>0.210843</v>
      </c>
      <c r="T124" s="175">
        <f>IFERROR(VLOOKUP($D124,'2024_Lodging_by_WUP'!$A:$D,4,FALSE),0)</f>
        <v>0</v>
      </c>
      <c r="U124" s="175">
        <f t="shared" si="1"/>
        <v>0</v>
      </c>
      <c r="V124" s="178">
        <f>IFERROR(VLOOKUP($D124,Total_DU!$B$5:$AB$171,24,0),0)</f>
        <v>0</v>
      </c>
      <c r="W124" s="178">
        <f>IFERROR(VLOOKUP($D124,Total_DU!$B$5:$AB$174,25,0),0)</f>
        <v>0</v>
      </c>
      <c r="X124" s="178">
        <f>IFERROR(VLOOKUP($D124,Total_DU!$B$5:$AB$174,26,0),0)</f>
        <v>0</v>
      </c>
      <c r="Y124" s="178">
        <f>IFERROR(VLOOKUP($D124,Total_DU!$B$5:$AB$174,27,0),0)</f>
        <v>0</v>
      </c>
      <c r="Z124" s="178">
        <f>IFERROR(VLOOKUP($D124,Population!$B$5:$AA$175,23,FALSE),0)</f>
        <v>0</v>
      </c>
      <c r="AA124" s="178">
        <f>IFERROR(VLOOKUP($D124,Population!$B$5:$AA$175,24,FALSE),0)</f>
        <v>0</v>
      </c>
      <c r="AB124" s="178">
        <f>IFERROR(VLOOKUP($D124,Population!$B$5:$AA$175,25,FALSE),0)</f>
        <v>0</v>
      </c>
      <c r="AC124" s="178">
        <f>IFERROR(VLOOKUP($D124,Population!$B$5:$AA$175,26,FALSE),0)</f>
        <v>0</v>
      </c>
    </row>
    <row r="125" spans="1:29" x14ac:dyDescent="0.2">
      <c r="A125" s="1" t="s">
        <v>521</v>
      </c>
      <c r="B125" s="1" t="s">
        <v>563</v>
      </c>
      <c r="C125" s="1" t="s">
        <v>564</v>
      </c>
      <c r="D125" s="1">
        <v>6982</v>
      </c>
      <c r="E125" s="1">
        <v>2024</v>
      </c>
      <c r="F125" s="175">
        <f>VLOOKUP($D125,'2024Data to Complete Appendix C'!$C$8:$Q$313,2,FALSE)</f>
        <v>299</v>
      </c>
      <c r="G125" s="175">
        <f>VLOOKUP($D125,'2024Data to Complete Appendix C'!$C$8:$Q$313,3,FALSE)</f>
        <v>124</v>
      </c>
      <c r="H125" s="175">
        <f>VLOOKUP($D125,'2024Data to Complete Appendix C'!$C$8:$Q$313,4,FALSE)</f>
        <v>0</v>
      </c>
      <c r="I125" s="175">
        <f>VLOOKUP($D125,'2024Data to Complete Appendix C'!$C$8:$Q$313,5,FALSE)</f>
        <v>143</v>
      </c>
      <c r="J125" s="176">
        <f>VLOOKUP($D125,'2024Data to Complete Appendix C'!$C$8:$Q$313,6,FALSE)</f>
        <v>2.4112900000000002</v>
      </c>
      <c r="K125" s="176">
        <f>VLOOKUP($D125,'2024Data to Complete Appendix C'!$C$8:$Q$313,7,FALSE)</f>
        <v>1.95</v>
      </c>
      <c r="L125" s="176">
        <f>VLOOKUP($D125,'2024Data to Complete Appendix C'!$C$8:$Q$313,8,FALSE)</f>
        <v>1.09839</v>
      </c>
      <c r="M125" s="175">
        <f>VLOOKUP($D125,'2024Data to Complete Appendix C'!$C$8:$Q$313,9,FALSE)</f>
        <v>15.0868</v>
      </c>
      <c r="N125" s="176">
        <f>VLOOKUP($D125,'2024Data to Complete Appendix C'!$C$8:$Q$313,10,FALSE)</f>
        <v>0.10847</v>
      </c>
      <c r="O125" s="177">
        <f>VLOOKUP($D125,'2024Data to Complete Appendix C'!$C$8:$Q$313,11,FALSE)</f>
        <v>0.56699999999999995</v>
      </c>
      <c r="P125" s="177">
        <f>VLOOKUP($D125,'2024Data to Complete Appendix C'!$C$8:$Q$313,12,FALSE)</f>
        <v>0.77268000000000003</v>
      </c>
      <c r="Q125" s="177">
        <f>VLOOKUP($D125,'2024Data to Complete Appendix C'!$C$8:$Q$313,13,FALSE)</f>
        <v>0.63540872599999998</v>
      </c>
      <c r="R125" s="176">
        <f>VLOOKUP($D125,'2024Data to Complete Appendix C'!$C$8:$Q$313,14,FALSE)</f>
        <v>2.2999999999999998</v>
      </c>
      <c r="S125" s="177">
        <f>VLOOKUP($D125,'2024Data to Complete Appendix C'!$C$8:$Q$313,15,FALSE)</f>
        <v>-0.54655900000000002</v>
      </c>
      <c r="T125" s="175">
        <f>IFERROR(VLOOKUP($D125,'2024_Lodging_by_WUP'!$A:$D,4,FALSE),0)</f>
        <v>0</v>
      </c>
      <c r="U125" s="175">
        <f t="shared" ref="U125:U188" si="3">IF(T125&gt;0,T125*Q125*R125,0)</f>
        <v>0</v>
      </c>
      <c r="V125" s="178">
        <f>IFERROR(VLOOKUP($D125,Total_DU!$B$5:$AB$171,24,0),0)</f>
        <v>0</v>
      </c>
      <c r="W125" s="178">
        <f>IFERROR(VLOOKUP($D125,Total_DU!$B$5:$AB$174,25,0),0)</f>
        <v>0</v>
      </c>
      <c r="X125" s="178">
        <f>IFERROR(VLOOKUP($D125,Total_DU!$B$5:$AB$174,26,0),0)</f>
        <v>0</v>
      </c>
      <c r="Y125" s="178">
        <f>IFERROR(VLOOKUP($D125,Total_DU!$B$5:$AB$174,27,0),0)</f>
        <v>0</v>
      </c>
      <c r="Z125" s="178">
        <f>IFERROR(VLOOKUP($D125,Population!$B$5:$AA$175,23,FALSE),0)</f>
        <v>0</v>
      </c>
      <c r="AA125" s="178">
        <f>IFERROR(VLOOKUP($D125,Population!$B$5:$AA$175,24,FALSE),0)</f>
        <v>0</v>
      </c>
      <c r="AB125" s="178">
        <f>IFERROR(VLOOKUP($D125,Population!$B$5:$AA$175,25,FALSE),0)</f>
        <v>0</v>
      </c>
      <c r="AC125" s="178">
        <f>IFERROR(VLOOKUP($D125,Population!$B$5:$AA$175,26,FALSE),0)</f>
        <v>0</v>
      </c>
    </row>
    <row r="126" spans="1:29" x14ac:dyDescent="0.2">
      <c r="A126" s="1" t="s">
        <v>521</v>
      </c>
      <c r="B126" s="1" t="s">
        <v>565</v>
      </c>
      <c r="C126" s="1" t="s">
        <v>566</v>
      </c>
      <c r="D126" s="1">
        <v>7588</v>
      </c>
      <c r="E126" s="1">
        <v>2024</v>
      </c>
      <c r="F126" s="175">
        <f>VLOOKUP($D126,'2024Data to Complete Appendix C'!$C$8:$Q$313,2,FALSE)</f>
        <v>738</v>
      </c>
      <c r="G126" s="175">
        <f>VLOOKUP($D126,'2024Data to Complete Appendix C'!$C$8:$Q$313,3,FALSE)</f>
        <v>464</v>
      </c>
      <c r="H126" s="175">
        <f>VLOOKUP($D126,'2024Data to Complete Appendix C'!$C$8:$Q$313,4,FALSE)</f>
        <v>0</v>
      </c>
      <c r="I126" s="175">
        <f>VLOOKUP($D126,'2024Data to Complete Appendix C'!$C$8:$Q$313,5,FALSE)</f>
        <v>687</v>
      </c>
      <c r="J126" s="176">
        <f>VLOOKUP($D126,'2024Data to Complete Appendix C'!$C$8:$Q$313,6,FALSE)</f>
        <v>1.5905199999999999</v>
      </c>
      <c r="K126" s="176">
        <f>VLOOKUP($D126,'2024Data to Complete Appendix C'!$C$8:$Q$313,7,FALSE)</f>
        <v>1.95</v>
      </c>
      <c r="L126" s="176">
        <f>VLOOKUP($D126,'2024Data to Complete Appendix C'!$C$8:$Q$313,8,FALSE)</f>
        <v>1.3102799999999999</v>
      </c>
      <c r="M126" s="175">
        <f>VLOOKUP($D126,'2024Data to Complete Appendix C'!$C$8:$Q$313,9,FALSE)</f>
        <v>117.43</v>
      </c>
      <c r="N126" s="176">
        <f>VLOOKUP($D126,'2024Data to Complete Appendix C'!$C$8:$Q$313,10,FALSE)</f>
        <v>0.20196800000000001</v>
      </c>
      <c r="O126" s="177">
        <f>VLOOKUP($D126,'2024Data to Complete Appendix C'!$C$8:$Q$313,11,FALSE)</f>
        <v>0.56699999999999995</v>
      </c>
      <c r="P126" s="177">
        <f>VLOOKUP($D126,'2024Data to Complete Appendix C'!$C$8:$Q$313,12,FALSE)</f>
        <v>0.77268000000000003</v>
      </c>
      <c r="Q126" s="177">
        <f>VLOOKUP($D126,'2024Data to Complete Appendix C'!$C$8:$Q$313,13,FALSE)</f>
        <v>0.63540872599999998</v>
      </c>
      <c r="R126" s="176">
        <f>VLOOKUP($D126,'2024Data to Complete Appendix C'!$C$8:$Q$313,14,FALSE)</f>
        <v>2.2999999999999998</v>
      </c>
      <c r="S126" s="177">
        <f>VLOOKUP($D126,'2024Data to Complete Appendix C'!$C$8:$Q$313,15,FALSE)</f>
        <v>-0.48243799999999998</v>
      </c>
      <c r="T126" s="175">
        <f>IFERROR(VLOOKUP($D126,'2024_Lodging_by_WUP'!$A:$D,4,FALSE),0)</f>
        <v>0</v>
      </c>
      <c r="U126" s="175">
        <f t="shared" si="3"/>
        <v>0</v>
      </c>
      <c r="V126" s="178">
        <f>IFERROR(VLOOKUP($D126,Total_DU!$B$5:$AB$171,24,0),0)</f>
        <v>0</v>
      </c>
      <c r="W126" s="178">
        <f>IFERROR(VLOOKUP($D126,Total_DU!$B$5:$AB$174,25,0),0)</f>
        <v>0</v>
      </c>
      <c r="X126" s="178">
        <f>IFERROR(VLOOKUP($D126,Total_DU!$B$5:$AB$174,26,0),0)</f>
        <v>0</v>
      </c>
      <c r="Y126" s="178">
        <f>IFERROR(VLOOKUP($D126,Total_DU!$B$5:$AB$174,27,0),0)</f>
        <v>0</v>
      </c>
      <c r="Z126" s="178">
        <f>IFERROR(VLOOKUP($D126,Population!$B$5:$AA$175,23,FALSE),0)</f>
        <v>0</v>
      </c>
      <c r="AA126" s="178">
        <f>IFERROR(VLOOKUP($D126,Population!$B$5:$AA$175,24,FALSE),0)</f>
        <v>0</v>
      </c>
      <c r="AB126" s="178">
        <f>IFERROR(VLOOKUP($D126,Population!$B$5:$AA$175,25,FALSE),0)</f>
        <v>0</v>
      </c>
      <c r="AC126" s="178">
        <f>IFERROR(VLOOKUP($D126,Population!$B$5:$AA$175,26,FALSE),0)</f>
        <v>0</v>
      </c>
    </row>
    <row r="127" spans="1:29" x14ac:dyDescent="0.2">
      <c r="A127" s="1" t="s">
        <v>521</v>
      </c>
      <c r="B127" s="1" t="s">
        <v>567</v>
      </c>
      <c r="C127" s="1" t="s">
        <v>523</v>
      </c>
      <c r="D127" s="1">
        <v>7718</v>
      </c>
      <c r="E127" s="1">
        <v>2024</v>
      </c>
      <c r="F127" s="175">
        <f>VLOOKUP($D127,'2024Data to Complete Appendix C'!$C$8:$Q$313,2,FALSE)</f>
        <v>1231</v>
      </c>
      <c r="G127" s="175">
        <f>VLOOKUP($D127,'2024Data to Complete Appendix C'!$C$8:$Q$313,3,FALSE)</f>
        <v>612</v>
      </c>
      <c r="H127" s="175">
        <f>VLOOKUP($D127,'2024Data to Complete Appendix C'!$C$8:$Q$313,4,FALSE)</f>
        <v>0</v>
      </c>
      <c r="I127" s="175">
        <f>VLOOKUP($D127,'2024Data to Complete Appendix C'!$C$8:$Q$313,5,FALSE)</f>
        <v>835</v>
      </c>
      <c r="J127" s="176">
        <f>VLOOKUP($D127,'2024Data to Complete Appendix C'!$C$8:$Q$313,6,FALSE)</f>
        <v>2.0114399999999999</v>
      </c>
      <c r="K127" s="176">
        <f>VLOOKUP($D127,'2024Data to Complete Appendix C'!$C$8:$Q$313,7,FALSE)</f>
        <v>1.95</v>
      </c>
      <c r="L127" s="176">
        <f>VLOOKUP($D127,'2024Data to Complete Appendix C'!$C$8:$Q$313,8,FALSE)</f>
        <v>1.13453</v>
      </c>
      <c r="M127" s="175">
        <f>VLOOKUP($D127,'2024Data to Complete Appendix C'!$C$8:$Q$313,9,FALSE)</f>
        <v>84.929100000000005</v>
      </c>
      <c r="N127" s="176">
        <f>VLOOKUP($D127,'2024Data to Complete Appendix C'!$C$8:$Q$313,10,FALSE)</f>
        <v>0.121862</v>
      </c>
      <c r="O127" s="177">
        <f>VLOOKUP($D127,'2024Data to Complete Appendix C'!$C$8:$Q$313,11,FALSE)</f>
        <v>0.56699999999999995</v>
      </c>
      <c r="P127" s="177">
        <f>VLOOKUP($D127,'2024Data to Complete Appendix C'!$C$8:$Q$313,12,FALSE)</f>
        <v>0.77268000000000003</v>
      </c>
      <c r="Q127" s="177">
        <f>VLOOKUP($D127,'2024Data to Complete Appendix C'!$C$8:$Q$313,13,FALSE)</f>
        <v>0.63540872599999998</v>
      </c>
      <c r="R127" s="176">
        <f>VLOOKUP($D127,'2024Data to Complete Appendix C'!$C$8:$Q$313,14,FALSE)</f>
        <v>2.2999999999999998</v>
      </c>
      <c r="S127" s="177">
        <f>VLOOKUP($D127,'2024Data to Complete Appendix C'!$C$8:$Q$313,15,FALSE)</f>
        <v>-2.5336600000000001E-2</v>
      </c>
      <c r="T127" s="175">
        <f>IFERROR(VLOOKUP($D127,'2024_Lodging_by_WUP'!$A:$D,4,FALSE),0)</f>
        <v>0</v>
      </c>
      <c r="U127" s="175">
        <f t="shared" si="3"/>
        <v>0</v>
      </c>
      <c r="V127" s="178">
        <f>IFERROR(VLOOKUP($D127,Total_DU!$B$5:$AB$171,24,0),0)</f>
        <v>0</v>
      </c>
      <c r="W127" s="178">
        <f>IFERROR(VLOOKUP($D127,Total_DU!$B$5:$AB$174,25,0),0)</f>
        <v>0</v>
      </c>
      <c r="X127" s="178">
        <f>IFERROR(VLOOKUP($D127,Total_DU!$B$5:$AB$174,26,0),0)</f>
        <v>0</v>
      </c>
      <c r="Y127" s="178">
        <f>IFERROR(VLOOKUP($D127,Total_DU!$B$5:$AB$174,27,0),0)</f>
        <v>0</v>
      </c>
      <c r="Z127" s="178">
        <f>IFERROR(VLOOKUP($D127,Population!$B$5:$AA$175,23,FALSE),0)</f>
        <v>0</v>
      </c>
      <c r="AA127" s="178">
        <f>IFERROR(VLOOKUP($D127,Population!$B$5:$AA$175,24,FALSE),0)</f>
        <v>0</v>
      </c>
      <c r="AB127" s="178">
        <f>IFERROR(VLOOKUP($D127,Population!$B$5:$AA$175,25,FALSE),0)</f>
        <v>0</v>
      </c>
      <c r="AC127" s="178">
        <f>IFERROR(VLOOKUP($D127,Population!$B$5:$AA$175,26,FALSE),0)</f>
        <v>0</v>
      </c>
    </row>
    <row r="128" spans="1:29" x14ac:dyDescent="0.2">
      <c r="A128" s="1" t="s">
        <v>521</v>
      </c>
      <c r="B128" s="1" t="s">
        <v>568</v>
      </c>
      <c r="C128" s="1" t="s">
        <v>523</v>
      </c>
      <c r="D128" s="1">
        <v>7745</v>
      </c>
      <c r="E128" s="1">
        <v>2024</v>
      </c>
      <c r="F128" s="175">
        <f>VLOOKUP($D128,'2024Data to Complete Appendix C'!$C$8:$Q$313,2,FALSE)</f>
        <v>781</v>
      </c>
      <c r="G128" s="175">
        <f>VLOOKUP($D128,'2024Data to Complete Appendix C'!$C$8:$Q$313,3,FALSE)</f>
        <v>330</v>
      </c>
      <c r="H128" s="175">
        <f>VLOOKUP($D128,'2024Data to Complete Appendix C'!$C$8:$Q$313,4,FALSE)</f>
        <v>0</v>
      </c>
      <c r="I128" s="175">
        <f>VLOOKUP($D128,'2024Data to Complete Appendix C'!$C$8:$Q$313,5,FALSE)</f>
        <v>371</v>
      </c>
      <c r="J128" s="176">
        <f>VLOOKUP($D128,'2024Data to Complete Appendix C'!$C$8:$Q$313,6,FALSE)</f>
        <v>2.3666700000000001</v>
      </c>
      <c r="K128" s="176">
        <f>VLOOKUP($D128,'2024Data to Complete Appendix C'!$C$8:$Q$313,7,FALSE)</f>
        <v>1.95</v>
      </c>
      <c r="L128" s="176">
        <f>VLOOKUP($D128,'2024Data to Complete Appendix C'!$C$8:$Q$313,8,FALSE)</f>
        <v>1.0568900000000001</v>
      </c>
      <c r="M128" s="175">
        <f>VLOOKUP($D128,'2024Data to Complete Appendix C'!$C$8:$Q$313,9,FALSE)</f>
        <v>22.783999999999999</v>
      </c>
      <c r="N128" s="176">
        <f>VLOOKUP($D128,'2024Data to Complete Appendix C'!$C$8:$Q$313,10,FALSE)</f>
        <v>6.4583500000000002E-2</v>
      </c>
      <c r="O128" s="177">
        <f>VLOOKUP($D128,'2024Data to Complete Appendix C'!$C$8:$Q$313,11,FALSE)</f>
        <v>0.56699999999999995</v>
      </c>
      <c r="P128" s="177">
        <f>VLOOKUP($D128,'2024Data to Complete Appendix C'!$C$8:$Q$313,12,FALSE)</f>
        <v>0.77268000000000003</v>
      </c>
      <c r="Q128" s="177">
        <f>VLOOKUP($D128,'2024Data to Complete Appendix C'!$C$8:$Q$313,13,FALSE)</f>
        <v>0.63540872599999998</v>
      </c>
      <c r="R128" s="176">
        <f>VLOOKUP($D128,'2024Data to Complete Appendix C'!$C$8:$Q$313,14,FALSE)</f>
        <v>2.2999999999999998</v>
      </c>
      <c r="S128" s="177">
        <f>VLOOKUP($D128,'2024Data to Complete Appendix C'!$C$8:$Q$313,15,FALSE)</f>
        <v>-0.29533700000000002</v>
      </c>
      <c r="T128" s="175">
        <f>IFERROR(VLOOKUP($D128,'2024_Lodging_by_WUP'!$A:$D,4,FALSE),0)</f>
        <v>0</v>
      </c>
      <c r="U128" s="175">
        <f t="shared" si="3"/>
        <v>0</v>
      </c>
      <c r="V128" s="178">
        <f>IFERROR(VLOOKUP($D128,Total_DU!$B$5:$AB$171,24,0),0)</f>
        <v>0</v>
      </c>
      <c r="W128" s="178">
        <f>IFERROR(VLOOKUP($D128,Total_DU!$B$5:$AB$174,25,0),0)</f>
        <v>0</v>
      </c>
      <c r="X128" s="178">
        <f>IFERROR(VLOOKUP($D128,Total_DU!$B$5:$AB$174,26,0),0)</f>
        <v>0</v>
      </c>
      <c r="Y128" s="178">
        <f>IFERROR(VLOOKUP($D128,Total_DU!$B$5:$AB$174,27,0),0)</f>
        <v>0</v>
      </c>
      <c r="Z128" s="178">
        <f>IFERROR(VLOOKUP($D128,Population!$B$5:$AA$175,23,FALSE),0)</f>
        <v>0</v>
      </c>
      <c r="AA128" s="178">
        <f>IFERROR(VLOOKUP($D128,Population!$B$5:$AA$175,24,FALSE),0)</f>
        <v>0</v>
      </c>
      <c r="AB128" s="178">
        <f>IFERROR(VLOOKUP($D128,Population!$B$5:$AA$175,25,FALSE),0)</f>
        <v>0</v>
      </c>
      <c r="AC128" s="178">
        <f>IFERROR(VLOOKUP($D128,Population!$B$5:$AA$175,26,FALSE),0)</f>
        <v>0</v>
      </c>
    </row>
    <row r="129" spans="1:29" x14ac:dyDescent="0.2">
      <c r="A129" s="1" t="s">
        <v>521</v>
      </c>
      <c r="B129" s="1" t="s">
        <v>569</v>
      </c>
      <c r="C129" s="1" t="s">
        <v>523</v>
      </c>
      <c r="D129" s="1">
        <v>7999</v>
      </c>
      <c r="E129" s="1">
        <v>2024</v>
      </c>
      <c r="F129" s="175">
        <f>VLOOKUP($D129,'2024Data to Complete Appendix C'!$C$8:$Q$313,2,FALSE)</f>
        <v>4583</v>
      </c>
      <c r="G129" s="175">
        <f>VLOOKUP($D129,'2024Data to Complete Appendix C'!$C$8:$Q$313,3,FALSE)</f>
        <v>1719</v>
      </c>
      <c r="H129" s="175">
        <f>VLOOKUP($D129,'2024Data to Complete Appendix C'!$C$8:$Q$313,4,FALSE)</f>
        <v>0</v>
      </c>
      <c r="I129" s="175">
        <f>VLOOKUP($D129,'2024Data to Complete Appendix C'!$C$8:$Q$313,5,FALSE)</f>
        <v>1819</v>
      </c>
      <c r="J129" s="176">
        <f>VLOOKUP($D129,'2024Data to Complete Appendix C'!$C$8:$Q$313,6,FALSE)</f>
        <v>2.6660900000000001</v>
      </c>
      <c r="K129" s="176">
        <f>VLOOKUP($D129,'2024Data to Complete Appendix C'!$C$8:$Q$313,7,FALSE)</f>
        <v>1.95</v>
      </c>
      <c r="L129" s="176">
        <f>VLOOKUP($D129,'2024Data to Complete Appendix C'!$C$8:$Q$313,8,FALSE)</f>
        <v>1</v>
      </c>
      <c r="M129" s="175">
        <f>VLOOKUP($D129,'2024Data to Complete Appendix C'!$C$8:$Q$313,9,FALSE)</f>
        <v>0</v>
      </c>
      <c r="N129" s="176">
        <f>VLOOKUP($D129,'2024Data to Complete Appendix C'!$C$8:$Q$313,10,FALSE)</f>
        <v>0</v>
      </c>
      <c r="O129" s="177">
        <f>VLOOKUP($D129,'2024Data to Complete Appendix C'!$C$8:$Q$313,11,FALSE)</f>
        <v>0.56699999999999995</v>
      </c>
      <c r="P129" s="177">
        <f>VLOOKUP($D129,'2024Data to Complete Appendix C'!$C$8:$Q$313,12,FALSE)</f>
        <v>0.77268000000000003</v>
      </c>
      <c r="Q129" s="177">
        <f>VLOOKUP($D129,'2024Data to Complete Appendix C'!$C$8:$Q$313,13,FALSE)</f>
        <v>0.63540872599999998</v>
      </c>
      <c r="R129" s="176">
        <f>VLOOKUP($D129,'2024Data to Complete Appendix C'!$C$8:$Q$313,14,FALSE)</f>
        <v>2.2999999999999998</v>
      </c>
      <c r="S129" s="177">
        <f>VLOOKUP($D129,'2024Data to Complete Appendix C'!$C$8:$Q$313,15,FALSE)</f>
        <v>-0.61721800000000004</v>
      </c>
      <c r="T129" s="175">
        <f>IFERROR(VLOOKUP($D129,'2024_Lodging_by_WUP'!$A:$D,4,FALSE),0)</f>
        <v>0</v>
      </c>
      <c r="U129" s="175">
        <f t="shared" si="3"/>
        <v>0</v>
      </c>
      <c r="V129" s="178">
        <f>IFERROR(VLOOKUP($D129,Total_DU!$B$5:$AB$171,24,0),0)</f>
        <v>734</v>
      </c>
      <c r="W129" s="178">
        <f>IFERROR(VLOOKUP($D129,Total_DU!$B$5:$AB$174,25,0),0)</f>
        <v>738</v>
      </c>
      <c r="X129" s="178">
        <f>IFERROR(VLOOKUP($D129,Total_DU!$B$5:$AB$174,26,0),0)</f>
        <v>744</v>
      </c>
      <c r="Y129" s="178">
        <f>IFERROR(VLOOKUP($D129,Total_DU!$B$5:$AB$174,27,0),0)</f>
        <v>750</v>
      </c>
      <c r="Z129" s="178">
        <f>IFERROR(VLOOKUP($D129,Population!$B$5:$AA$175,23,FALSE),0)</f>
        <v>2026.0968918800354</v>
      </c>
      <c r="AA129" s="178">
        <f>IFERROR(VLOOKUP($D129,Population!$B$5:$AA$175,24,FALSE),0)</f>
        <v>2037</v>
      </c>
      <c r="AB129" s="178">
        <f>IFERROR(VLOOKUP($D129,Population!$B$5:$AA$175,25,FALSE),0)</f>
        <v>2054</v>
      </c>
      <c r="AC129" s="178">
        <f>IFERROR(VLOOKUP($D129,Population!$B$5:$AA$175,26,FALSE),0)</f>
        <v>1999.5636998254799</v>
      </c>
    </row>
    <row r="130" spans="1:29" x14ac:dyDescent="0.2">
      <c r="A130" s="1" t="s">
        <v>521</v>
      </c>
      <c r="B130" s="1" t="s">
        <v>570</v>
      </c>
      <c r="C130" s="1" t="s">
        <v>523</v>
      </c>
      <c r="D130" s="1">
        <v>8417</v>
      </c>
      <c r="E130" s="1">
        <v>2024</v>
      </c>
      <c r="F130" s="175">
        <f>VLOOKUP($D130,'2024Data to Complete Appendix C'!$C$8:$Q$313,2,FALSE)</f>
        <v>8223</v>
      </c>
      <c r="G130" s="175">
        <f>VLOOKUP($D130,'2024Data to Complete Appendix C'!$C$8:$Q$313,3,FALSE)</f>
        <v>3617</v>
      </c>
      <c r="H130" s="175">
        <f>VLOOKUP($D130,'2024Data to Complete Appendix C'!$C$8:$Q$313,4,FALSE)</f>
        <v>24</v>
      </c>
      <c r="I130" s="175">
        <f>VLOOKUP($D130,'2024Data to Complete Appendix C'!$C$8:$Q$313,5,FALSE)</f>
        <v>4456</v>
      </c>
      <c r="J130" s="176">
        <f>VLOOKUP($D130,'2024Data to Complete Appendix C'!$C$8:$Q$313,6,FALSE)</f>
        <v>2.2734299999999998</v>
      </c>
      <c r="K130" s="176">
        <f>VLOOKUP($D130,'2024Data to Complete Appendix C'!$C$8:$Q$313,7,FALSE)</f>
        <v>1.95</v>
      </c>
      <c r="L130" s="176">
        <f>VLOOKUP($D130,'2024Data to Complete Appendix C'!$C$8:$Q$313,8,FALSE)</f>
        <v>1.00631</v>
      </c>
      <c r="M130" s="175">
        <f>VLOOKUP($D130,'2024Data to Complete Appendix C'!$C$8:$Q$313,9,FALSE)</f>
        <v>26.618300000000001</v>
      </c>
      <c r="N130" s="176">
        <f>VLOOKUP($D130,'2024Data to Complete Appendix C'!$C$8:$Q$313,10,FALSE)</f>
        <v>7.3055000000000004E-3</v>
      </c>
      <c r="O130" s="177">
        <f>VLOOKUP($D130,'2024Data to Complete Appendix C'!$C$8:$Q$313,11,FALSE)</f>
        <v>0.56699999999999995</v>
      </c>
      <c r="P130" s="177">
        <f>VLOOKUP($D130,'2024Data to Complete Appendix C'!$C$8:$Q$313,12,FALSE)</f>
        <v>0.77268000000000003</v>
      </c>
      <c r="Q130" s="177">
        <f>VLOOKUP($D130,'2024Data to Complete Appendix C'!$C$8:$Q$313,13,FALSE)</f>
        <v>0.63540872599999998</v>
      </c>
      <c r="R130" s="176">
        <f>VLOOKUP($D130,'2024Data to Complete Appendix C'!$C$8:$Q$313,14,FALSE)</f>
        <v>2.2999999999999998</v>
      </c>
      <c r="S130" s="177">
        <f>VLOOKUP($D130,'2024Data to Complete Appendix C'!$C$8:$Q$313,15,FALSE)</f>
        <v>-0.23164299999999999</v>
      </c>
      <c r="T130" s="175">
        <f>IFERROR(VLOOKUP($D130,'2024_Lodging_by_WUP'!$A:$D,4,FALSE),0)</f>
        <v>5</v>
      </c>
      <c r="U130" s="175">
        <f t="shared" si="3"/>
        <v>7.3072003489999995</v>
      </c>
      <c r="V130" s="178">
        <f>IFERROR(VLOOKUP($D130,Total_DU!$B$5:$AB$171,24,0),0)</f>
        <v>3373</v>
      </c>
      <c r="W130" s="178">
        <f>IFERROR(VLOOKUP($D130,Total_DU!$B$5:$AB$174,25,0),0)</f>
        <v>3376</v>
      </c>
      <c r="X130" s="178">
        <f>IFERROR(VLOOKUP($D130,Total_DU!$B$5:$AB$174,26,0),0)</f>
        <v>3593</v>
      </c>
      <c r="Y130" s="178">
        <f>IFERROR(VLOOKUP($D130,Total_DU!$B$5:$AB$174,27,0),0)</f>
        <v>3371</v>
      </c>
      <c r="Z130" s="178">
        <f>IFERROR(VLOOKUP($D130,Population!$B$5:$AA$175,23,FALSE),0)</f>
        <v>7965.5365096848655</v>
      </c>
      <c r="AA130" s="178">
        <f>IFERROR(VLOOKUP($D130,Population!$B$5:$AA$175,24,FALSE),0)</f>
        <v>7933</v>
      </c>
      <c r="AB130" s="178">
        <f>IFERROR(VLOOKUP($D130,Population!$B$5:$AA$175,25,FALSE),0)</f>
        <v>8499</v>
      </c>
      <c r="AC130" s="178">
        <f>IFERROR(VLOOKUP($D130,Population!$B$5:$AA$175,26,FALSE),0)</f>
        <v>7671.5665298064796</v>
      </c>
    </row>
    <row r="131" spans="1:29" x14ac:dyDescent="0.2">
      <c r="A131" s="1" t="s">
        <v>521</v>
      </c>
      <c r="B131" s="1" t="s">
        <v>571</v>
      </c>
      <c r="C131" s="1" t="s">
        <v>572</v>
      </c>
      <c r="D131" s="1">
        <v>8491</v>
      </c>
      <c r="E131" s="1">
        <v>2024</v>
      </c>
      <c r="F131" s="175">
        <f>VLOOKUP($D131,'2024Data to Complete Appendix C'!$C$8:$Q$313,2,FALSE)</f>
        <v>404</v>
      </c>
      <c r="G131" s="175">
        <f>VLOOKUP($D131,'2024Data to Complete Appendix C'!$C$8:$Q$313,3,FALSE)</f>
        <v>166</v>
      </c>
      <c r="H131" s="175">
        <f>VLOOKUP($D131,'2024Data to Complete Appendix C'!$C$8:$Q$313,4,FALSE)</f>
        <v>0</v>
      </c>
      <c r="I131" s="175">
        <f>VLOOKUP($D131,'2024Data to Complete Appendix C'!$C$8:$Q$313,5,FALSE)</f>
        <v>196</v>
      </c>
      <c r="J131" s="176">
        <f>VLOOKUP($D131,'2024Data to Complete Appendix C'!$C$8:$Q$313,6,FALSE)</f>
        <v>2.4337300000000002</v>
      </c>
      <c r="K131" s="176">
        <f>VLOOKUP($D131,'2024Data to Complete Appendix C'!$C$8:$Q$313,7,FALSE)</f>
        <v>1.95</v>
      </c>
      <c r="L131" s="176">
        <f>VLOOKUP($D131,'2024Data to Complete Appendix C'!$C$8:$Q$313,8,FALSE)</f>
        <v>1.41842</v>
      </c>
      <c r="M131" s="175">
        <f>VLOOKUP($D131,'2024Data to Complete Appendix C'!$C$8:$Q$313,9,FALSE)</f>
        <v>86.687799999999996</v>
      </c>
      <c r="N131" s="176">
        <f>VLOOKUP($D131,'2024Data to Complete Appendix C'!$C$8:$Q$313,10,FALSE)</f>
        <v>0.34306300000000001</v>
      </c>
      <c r="O131" s="177">
        <f>VLOOKUP($D131,'2024Data to Complete Appendix C'!$C$8:$Q$313,11,FALSE)</f>
        <v>0.56699999999999995</v>
      </c>
      <c r="P131" s="177">
        <f>VLOOKUP($D131,'2024Data to Complete Appendix C'!$C$8:$Q$313,12,FALSE)</f>
        <v>0.77268000000000003</v>
      </c>
      <c r="Q131" s="177">
        <f>VLOOKUP($D131,'2024Data to Complete Appendix C'!$C$8:$Q$313,13,FALSE)</f>
        <v>0.63540872599999998</v>
      </c>
      <c r="R131" s="176">
        <f>VLOOKUP($D131,'2024Data to Complete Appendix C'!$C$8:$Q$313,14,FALSE)</f>
        <v>2.2999999999999998</v>
      </c>
      <c r="S131" s="177">
        <f>VLOOKUP($D131,'2024Data to Complete Appendix C'!$C$8:$Q$313,15,FALSE)</f>
        <v>-0.121951</v>
      </c>
      <c r="T131" s="175">
        <f>IFERROR(VLOOKUP($D131,'2024_Lodging_by_WUP'!$A:$D,4,FALSE),0)</f>
        <v>0</v>
      </c>
      <c r="U131" s="175">
        <f t="shared" si="3"/>
        <v>0</v>
      </c>
      <c r="V131" s="178">
        <f>IFERROR(VLOOKUP($D131,Total_DU!$B$5:$AB$171,24,0),0)</f>
        <v>0</v>
      </c>
      <c r="W131" s="178">
        <f>IFERROR(VLOOKUP($D131,Total_DU!$B$5:$AB$174,25,0),0)</f>
        <v>0</v>
      </c>
      <c r="X131" s="178">
        <f>IFERROR(VLOOKUP($D131,Total_DU!$B$5:$AB$174,26,0),0)</f>
        <v>0</v>
      </c>
      <c r="Y131" s="178">
        <f>IFERROR(VLOOKUP($D131,Total_DU!$B$5:$AB$174,27,0),0)</f>
        <v>0</v>
      </c>
      <c r="Z131" s="178">
        <f>IFERROR(VLOOKUP($D131,Population!$B$5:$AA$175,23,FALSE),0)</f>
        <v>0</v>
      </c>
      <c r="AA131" s="178">
        <f>IFERROR(VLOOKUP($D131,Population!$B$5:$AA$175,24,FALSE),0)</f>
        <v>0</v>
      </c>
      <c r="AB131" s="178">
        <f>IFERROR(VLOOKUP($D131,Population!$B$5:$AA$175,25,FALSE),0)</f>
        <v>0</v>
      </c>
      <c r="AC131" s="178">
        <f>IFERROR(VLOOKUP($D131,Population!$B$5:$AA$175,26,FALSE),0)</f>
        <v>0</v>
      </c>
    </row>
    <row r="132" spans="1:29" x14ac:dyDescent="0.2">
      <c r="A132" s="1" t="s">
        <v>521</v>
      </c>
      <c r="B132" s="1" t="s">
        <v>573</v>
      </c>
      <c r="C132" s="1" t="s">
        <v>574</v>
      </c>
      <c r="D132" s="1">
        <v>9666</v>
      </c>
      <c r="E132" s="1">
        <v>2024</v>
      </c>
      <c r="F132" s="175">
        <f>VLOOKUP($D132,'2024Data to Complete Appendix C'!$C$8:$Q$313,2,FALSE)</f>
        <v>651</v>
      </c>
      <c r="G132" s="175">
        <f>VLOOKUP($D132,'2024Data to Complete Appendix C'!$C$8:$Q$313,3,FALSE)</f>
        <v>349</v>
      </c>
      <c r="H132" s="175">
        <f>VLOOKUP($D132,'2024Data to Complete Appendix C'!$C$8:$Q$313,4,FALSE)</f>
        <v>0</v>
      </c>
      <c r="I132" s="175">
        <f>VLOOKUP($D132,'2024Data to Complete Appendix C'!$C$8:$Q$313,5,FALSE)</f>
        <v>392</v>
      </c>
      <c r="J132" s="176">
        <f>VLOOKUP($D132,'2024Data to Complete Appendix C'!$C$8:$Q$313,6,FALSE)</f>
        <v>1.8653299999999999</v>
      </c>
      <c r="K132" s="176">
        <f>VLOOKUP($D132,'2024Data to Complete Appendix C'!$C$8:$Q$313,7,FALSE)</f>
        <v>1.95</v>
      </c>
      <c r="L132" s="176">
        <f>VLOOKUP($D132,'2024Data to Complete Appendix C'!$C$8:$Q$313,8,FALSE)</f>
        <v>1.06986</v>
      </c>
      <c r="M132" s="175">
        <f>VLOOKUP($D132,'2024Data to Complete Appendix C'!$C$8:$Q$313,9,FALSE)</f>
        <v>23.323599999999999</v>
      </c>
      <c r="N132" s="176">
        <f>VLOOKUP($D132,'2024Data to Complete Appendix C'!$C$8:$Q$313,10,FALSE)</f>
        <v>6.2643500000000005E-2</v>
      </c>
      <c r="O132" s="177">
        <f>VLOOKUP($D132,'2024Data to Complete Appendix C'!$C$8:$Q$313,11,FALSE)</f>
        <v>0.56699999999999995</v>
      </c>
      <c r="P132" s="177">
        <f>VLOOKUP($D132,'2024Data to Complete Appendix C'!$C$8:$Q$313,12,FALSE)</f>
        <v>0.77268000000000003</v>
      </c>
      <c r="Q132" s="177">
        <f>VLOOKUP($D132,'2024Data to Complete Appendix C'!$C$8:$Q$313,13,FALSE)</f>
        <v>0.63540872599999998</v>
      </c>
      <c r="R132" s="176">
        <f>VLOOKUP($D132,'2024Data to Complete Appendix C'!$C$8:$Q$313,14,FALSE)</f>
        <v>2.2999999999999998</v>
      </c>
      <c r="S132" s="177">
        <f>VLOOKUP($D132,'2024Data to Complete Appendix C'!$C$8:$Q$313,15,FALSE)</f>
        <v>-0.105003</v>
      </c>
      <c r="T132" s="175">
        <f>IFERROR(VLOOKUP($D132,'2024_Lodging_by_WUP'!$A:$D,4,FALSE),0)</f>
        <v>0</v>
      </c>
      <c r="U132" s="175">
        <f t="shared" si="3"/>
        <v>0</v>
      </c>
      <c r="V132" s="178">
        <f>IFERROR(VLOOKUP($D132,Total_DU!$B$5:$AB$171,24,0),0)</f>
        <v>0</v>
      </c>
      <c r="W132" s="178">
        <f>IFERROR(VLOOKUP($D132,Total_DU!$B$5:$AB$174,25,0),0)</f>
        <v>0</v>
      </c>
      <c r="X132" s="178">
        <f>IFERROR(VLOOKUP($D132,Total_DU!$B$5:$AB$174,26,0),0)</f>
        <v>0</v>
      </c>
      <c r="Y132" s="178">
        <f>IFERROR(VLOOKUP($D132,Total_DU!$B$5:$AB$174,27,0),0)</f>
        <v>0</v>
      </c>
      <c r="Z132" s="178">
        <f>IFERROR(VLOOKUP($D132,Population!$B$5:$AA$175,23,FALSE),0)</f>
        <v>0</v>
      </c>
      <c r="AA132" s="178">
        <f>IFERROR(VLOOKUP($D132,Population!$B$5:$AA$175,24,FALSE),0)</f>
        <v>0</v>
      </c>
      <c r="AB132" s="178">
        <f>IFERROR(VLOOKUP($D132,Population!$B$5:$AA$175,25,FALSE),0)</f>
        <v>0</v>
      </c>
      <c r="AC132" s="178">
        <f>IFERROR(VLOOKUP($D132,Population!$B$5:$AA$175,26,FALSE),0)</f>
        <v>0</v>
      </c>
    </row>
    <row r="133" spans="1:29" x14ac:dyDescent="0.2">
      <c r="A133" s="1" t="s">
        <v>521</v>
      </c>
      <c r="B133" s="1" t="s">
        <v>575</v>
      </c>
      <c r="C133" s="1" t="s">
        <v>547</v>
      </c>
      <c r="D133" s="1">
        <v>11082</v>
      </c>
      <c r="E133" s="1">
        <v>2024</v>
      </c>
      <c r="F133" s="175">
        <f>VLOOKUP($D133,'2024Data to Complete Appendix C'!$C$8:$Q$313,2,FALSE)</f>
        <v>2709</v>
      </c>
      <c r="G133" s="175">
        <f>VLOOKUP($D133,'2024Data to Complete Appendix C'!$C$8:$Q$313,3,FALSE)</f>
        <v>1215</v>
      </c>
      <c r="H133" s="175">
        <f>VLOOKUP($D133,'2024Data to Complete Appendix C'!$C$8:$Q$313,4,FALSE)</f>
        <v>0</v>
      </c>
      <c r="I133" s="175">
        <f>VLOOKUP($D133,'2024Data to Complete Appendix C'!$C$8:$Q$313,5,FALSE)</f>
        <v>1400</v>
      </c>
      <c r="J133" s="176">
        <f>VLOOKUP($D133,'2024Data to Complete Appendix C'!$C$8:$Q$313,6,FALSE)</f>
        <v>2.2296299999999998</v>
      </c>
      <c r="K133" s="176">
        <f>VLOOKUP($D133,'2024Data to Complete Appendix C'!$C$8:$Q$313,7,FALSE)</f>
        <v>1.95</v>
      </c>
      <c r="L133" s="176">
        <f>VLOOKUP($D133,'2024Data to Complete Appendix C'!$C$8:$Q$313,8,FALSE)</f>
        <v>1.41842</v>
      </c>
      <c r="M133" s="175">
        <f>VLOOKUP($D133,'2024Data to Complete Appendix C'!$C$8:$Q$313,9,FALSE)</f>
        <v>581.28</v>
      </c>
      <c r="N133" s="176">
        <f>VLOOKUP($D133,'2024Data to Complete Appendix C'!$C$8:$Q$313,10,FALSE)</f>
        <v>0.323602</v>
      </c>
      <c r="O133" s="177">
        <f>VLOOKUP($D133,'2024Data to Complete Appendix C'!$C$8:$Q$313,11,FALSE)</f>
        <v>0.56699999999999995</v>
      </c>
      <c r="P133" s="177">
        <f>VLOOKUP($D133,'2024Data to Complete Appendix C'!$C$8:$Q$313,12,FALSE)</f>
        <v>0.77268000000000003</v>
      </c>
      <c r="Q133" s="177">
        <f>VLOOKUP($D133,'2024Data to Complete Appendix C'!$C$8:$Q$313,13,FALSE)</f>
        <v>0.63540872599999998</v>
      </c>
      <c r="R133" s="176">
        <f>VLOOKUP($D133,'2024Data to Complete Appendix C'!$C$8:$Q$313,14,FALSE)</f>
        <v>2.2999999999999998</v>
      </c>
      <c r="S133" s="177">
        <f>VLOOKUP($D133,'2024Data to Complete Appendix C'!$C$8:$Q$313,15,FALSE)</f>
        <v>-0.31300800000000001</v>
      </c>
      <c r="T133" s="175">
        <f>IFERROR(VLOOKUP($D133,'2024_Lodging_by_WUP'!$A:$D,4,FALSE),0)</f>
        <v>0</v>
      </c>
      <c r="U133" s="175">
        <f t="shared" si="3"/>
        <v>0</v>
      </c>
      <c r="V133" s="178">
        <f>IFERROR(VLOOKUP($D133,Total_DU!$B$5:$AB$171,24,0),0)</f>
        <v>0</v>
      </c>
      <c r="W133" s="178">
        <f>IFERROR(VLOOKUP($D133,Total_DU!$B$5:$AB$174,25,0),0)</f>
        <v>0</v>
      </c>
      <c r="X133" s="178">
        <f>IFERROR(VLOOKUP($D133,Total_DU!$B$5:$AB$174,26,0),0)</f>
        <v>0</v>
      </c>
      <c r="Y133" s="178">
        <f>IFERROR(VLOOKUP($D133,Total_DU!$B$5:$AB$174,27,0),0)</f>
        <v>0</v>
      </c>
      <c r="Z133" s="178">
        <f>IFERROR(VLOOKUP($D133,Population!$B$5:$AA$175,23,FALSE),0)</f>
        <v>0</v>
      </c>
      <c r="AA133" s="178">
        <f>IFERROR(VLOOKUP($D133,Population!$B$5:$AA$175,24,FALSE),0)</f>
        <v>0</v>
      </c>
      <c r="AB133" s="178">
        <f>IFERROR(VLOOKUP($D133,Population!$B$5:$AA$175,25,FALSE),0)</f>
        <v>0</v>
      </c>
      <c r="AC133" s="178">
        <f>IFERROR(VLOOKUP($D133,Population!$B$5:$AA$175,26,FALSE),0)</f>
        <v>0</v>
      </c>
    </row>
    <row r="134" spans="1:29" x14ac:dyDescent="0.2">
      <c r="A134" s="1" t="s">
        <v>521</v>
      </c>
      <c r="B134" s="1" t="s">
        <v>576</v>
      </c>
      <c r="C134" s="1" t="s">
        <v>577</v>
      </c>
      <c r="D134" s="1">
        <v>11863</v>
      </c>
      <c r="E134" s="1">
        <v>2024</v>
      </c>
      <c r="F134" s="175">
        <f>VLOOKUP($D134,'2024Data to Complete Appendix C'!$C$8:$Q$313,2,FALSE)</f>
        <v>380987</v>
      </c>
      <c r="G134" s="175">
        <f>VLOOKUP($D134,'2024Data to Complete Appendix C'!$C$8:$Q$313,3,FALSE)</f>
        <v>151994</v>
      </c>
      <c r="H134" s="175">
        <f>VLOOKUP($D134,'2024Data to Complete Appendix C'!$C$8:$Q$313,4,FALSE)</f>
        <v>5975</v>
      </c>
      <c r="I134" s="175">
        <f>VLOOKUP($D134,'2024Data to Complete Appendix C'!$C$8:$Q$313,5,FALSE)</f>
        <v>170402</v>
      </c>
      <c r="J134" s="176">
        <f>VLOOKUP($D134,'2024Data to Complete Appendix C'!$C$8:$Q$313,6,FALSE)</f>
        <v>2.5065900000000001</v>
      </c>
      <c r="K134" s="176">
        <f>VLOOKUP($D134,'2024Data to Complete Appendix C'!$C$8:$Q$313,7,FALSE)</f>
        <v>1.95</v>
      </c>
      <c r="L134" s="176">
        <f>VLOOKUP($D134,'2024Data to Complete Appendix C'!$C$8:$Q$313,8,FALSE)</f>
        <v>1.0548500000000001</v>
      </c>
      <c r="M134" s="175">
        <f>VLOOKUP($D134,'2024Data to Complete Appendix C'!$C$8:$Q$313,9,FALSE)</f>
        <v>10715.5</v>
      </c>
      <c r="N134" s="176">
        <f>VLOOKUP($D134,'2024Data to Complete Appendix C'!$C$8:$Q$313,10,FALSE)</f>
        <v>6.5856799999999993E-2</v>
      </c>
      <c r="O134" s="177">
        <f>VLOOKUP($D134,'2024Data to Complete Appendix C'!$C$8:$Q$313,11,FALSE)</f>
        <v>0.56699999999999995</v>
      </c>
      <c r="P134" s="177">
        <f>VLOOKUP($D134,'2024Data to Complete Appendix C'!$C$8:$Q$313,12,FALSE)</f>
        <v>0.77268000000000003</v>
      </c>
      <c r="Q134" s="177">
        <f>VLOOKUP($D134,'2024Data to Complete Appendix C'!$C$8:$Q$313,13,FALSE)</f>
        <v>0.63540872599999998</v>
      </c>
      <c r="R134" s="176">
        <f>VLOOKUP($D134,'2024Data to Complete Appendix C'!$C$8:$Q$313,14,FALSE)</f>
        <v>2.2999999999999998</v>
      </c>
      <c r="S134" s="177">
        <f>VLOOKUP($D134,'2024Data to Complete Appendix C'!$C$8:$Q$313,15,FALSE)</f>
        <v>-0.38345200000000002</v>
      </c>
      <c r="T134" s="175">
        <f>IFERROR(VLOOKUP($D134,'2024_Lodging_by_WUP'!$A:$D,4,FALSE),0)</f>
        <v>2676</v>
      </c>
      <c r="U134" s="175">
        <f t="shared" si="3"/>
        <v>3910.8136267847995</v>
      </c>
      <c r="V134" s="178">
        <f>IFERROR(VLOOKUP($D134,Total_DU!$B$5:$AB$171,24,0),0)</f>
        <v>126749</v>
      </c>
      <c r="W134" s="178">
        <f>IFERROR(VLOOKUP($D134,Total_DU!$B$5:$AB$174,25,0),0)</f>
        <v>135190</v>
      </c>
      <c r="X134" s="178">
        <f>IFERROR(VLOOKUP($D134,Total_DU!$B$5:$AB$174,26,0),0)</f>
        <v>138784</v>
      </c>
      <c r="Y134" s="178">
        <f>IFERROR(VLOOKUP($D134,Total_DU!$B$5:$AB$174,27,0),0)</f>
        <v>143642</v>
      </c>
      <c r="Z134" s="178">
        <f>IFERROR(VLOOKUP($D134,Population!$B$5:$AA$175,23,FALSE),0)</f>
        <v>310502.21468423947</v>
      </c>
      <c r="AA134" s="178">
        <f>IFERROR(VLOOKUP($D134,Population!$B$5:$AA$175,24,FALSE),0)</f>
        <v>330615</v>
      </c>
      <c r="AB134" s="178">
        <f>IFERROR(VLOOKUP($D134,Population!$B$5:$AA$175,25,FALSE),0)</f>
        <v>341712</v>
      </c>
      <c r="AC134" s="178">
        <f>IFERROR(VLOOKUP($D134,Population!$B$5:$AA$175,26,FALSE),0)</f>
        <v>360211</v>
      </c>
    </row>
    <row r="135" spans="1:29" x14ac:dyDescent="0.2">
      <c r="A135" s="1" t="s">
        <v>521</v>
      </c>
      <c r="B135" s="1" t="s">
        <v>578</v>
      </c>
      <c r="C135" s="1" t="s">
        <v>579</v>
      </c>
      <c r="D135" s="1">
        <v>99906</v>
      </c>
      <c r="E135" s="1">
        <v>2024</v>
      </c>
      <c r="F135" s="175">
        <f>VLOOKUP($D135,'2024Data to Complete Appendix C'!$C$8:$Q$313,2,FALSE)</f>
        <v>639</v>
      </c>
      <c r="G135" s="175">
        <f>VLOOKUP($D135,'2024Data to Complete Appendix C'!$C$8:$Q$313,3,FALSE)</f>
        <v>331</v>
      </c>
      <c r="H135" s="175">
        <f>VLOOKUP($D135,'2024Data to Complete Appendix C'!$C$8:$Q$313,4,FALSE)</f>
        <v>0</v>
      </c>
      <c r="I135" s="175">
        <f>VLOOKUP($D135,'2024Data to Complete Appendix C'!$C$8:$Q$313,5,FALSE)</f>
        <v>409</v>
      </c>
      <c r="J135" s="176">
        <f>VLOOKUP($D135,'2024Data to Complete Appendix C'!$C$8:$Q$313,6,FALSE)</f>
        <v>1.9305099999999999</v>
      </c>
      <c r="K135" s="176">
        <f>VLOOKUP($D135,'2024Data to Complete Appendix C'!$C$8:$Q$313,7,FALSE)</f>
        <v>1.95</v>
      </c>
      <c r="L135" s="176">
        <f>VLOOKUP($D135,'2024Data to Complete Appendix C'!$C$8:$Q$313,8,FALSE)</f>
        <v>1.41842</v>
      </c>
      <c r="M135" s="175">
        <f>VLOOKUP($D135,'2024Data to Complete Appendix C'!$C$8:$Q$313,9,FALSE)</f>
        <v>137.113</v>
      </c>
      <c r="N135" s="176">
        <f>VLOOKUP($D135,'2024Data to Complete Appendix C'!$C$8:$Q$313,10,FALSE)</f>
        <v>0.29290500000000003</v>
      </c>
      <c r="O135" s="177">
        <f>VLOOKUP($D135,'2024Data to Complete Appendix C'!$C$8:$Q$313,11,FALSE)</f>
        <v>0.56699999999999995</v>
      </c>
      <c r="P135" s="177">
        <f>VLOOKUP($D135,'2024Data to Complete Appendix C'!$C$8:$Q$313,12,FALSE)</f>
        <v>0.77268000000000003</v>
      </c>
      <c r="Q135" s="177">
        <f>VLOOKUP($D135,'2024Data to Complete Appendix C'!$C$8:$Q$313,13,FALSE)</f>
        <v>0.63540872599999998</v>
      </c>
      <c r="R135" s="176">
        <f>VLOOKUP($D135,'2024Data to Complete Appendix C'!$C$8:$Q$313,14,FALSE)</f>
        <v>2.2999999999999998</v>
      </c>
      <c r="S135" s="177">
        <f>VLOOKUP($D135,'2024Data to Complete Appendix C'!$C$8:$Q$313,15,FALSE)</f>
        <v>-0.58536600000000005</v>
      </c>
      <c r="T135" s="175">
        <f>IFERROR(VLOOKUP($D135,'2024_Lodging_by_WUP'!$A:$D,4,FALSE),0)</f>
        <v>0</v>
      </c>
      <c r="U135" s="175">
        <f t="shared" si="3"/>
        <v>0</v>
      </c>
      <c r="V135" s="178">
        <f>IFERROR(VLOOKUP($D135,Total_DU!$B$5:$AB$171,24,0),0)</f>
        <v>0</v>
      </c>
      <c r="W135" s="178">
        <f>IFERROR(VLOOKUP($D135,Total_DU!$B$5:$AB$174,25,0),0)</f>
        <v>0</v>
      </c>
      <c r="X135" s="178">
        <f>IFERROR(VLOOKUP($D135,Total_DU!$B$5:$AB$174,26,0),0)</f>
        <v>0</v>
      </c>
      <c r="Y135" s="178">
        <f>IFERROR(VLOOKUP($D135,Total_DU!$B$5:$AB$174,27,0),0)</f>
        <v>0</v>
      </c>
      <c r="Z135" s="178">
        <f>IFERROR(VLOOKUP($D135,Population!$B$5:$AA$175,23,FALSE),0)</f>
        <v>0</v>
      </c>
      <c r="AA135" s="178">
        <f>IFERROR(VLOOKUP($D135,Population!$B$5:$AA$175,24,FALSE),0)</f>
        <v>0</v>
      </c>
      <c r="AB135" s="178">
        <f>IFERROR(VLOOKUP($D135,Population!$B$5:$AA$175,25,FALSE),0)</f>
        <v>0</v>
      </c>
      <c r="AC135" s="178">
        <f>IFERROR(VLOOKUP($D135,Population!$B$5:$AA$175,26,FALSE),0)</f>
        <v>0</v>
      </c>
    </row>
    <row r="136" spans="1:29" x14ac:dyDescent="0.2">
      <c r="A136" s="1" t="s">
        <v>521</v>
      </c>
      <c r="B136" s="1" t="s">
        <v>580</v>
      </c>
      <c r="C136" s="1" t="s">
        <v>581</v>
      </c>
      <c r="D136" s="1">
        <v>99915</v>
      </c>
      <c r="E136" s="1">
        <v>2024</v>
      </c>
      <c r="F136" s="175">
        <f>VLOOKUP($D136,'2024Data to Complete Appendix C'!$C$8:$Q$313,2,FALSE)</f>
        <v>395</v>
      </c>
      <c r="G136" s="175">
        <f>VLOOKUP($D136,'2024Data to Complete Appendix C'!$C$8:$Q$313,3,FALSE)</f>
        <v>198</v>
      </c>
      <c r="H136" s="175">
        <f>VLOOKUP($D136,'2024Data to Complete Appendix C'!$C$8:$Q$313,4,FALSE)</f>
        <v>29</v>
      </c>
      <c r="I136" s="175">
        <f>VLOOKUP($D136,'2024Data to Complete Appendix C'!$C$8:$Q$313,5,FALSE)</f>
        <v>376</v>
      </c>
      <c r="J136" s="176">
        <f>VLOOKUP($D136,'2024Data to Complete Appendix C'!$C$8:$Q$313,6,FALSE)</f>
        <v>1.99495</v>
      </c>
      <c r="K136" s="176">
        <f>VLOOKUP($D136,'2024Data to Complete Appendix C'!$C$8:$Q$313,7,FALSE)</f>
        <v>1.95</v>
      </c>
      <c r="L136" s="176">
        <f>VLOOKUP($D136,'2024Data to Complete Appendix C'!$C$8:$Q$313,8,FALSE)</f>
        <v>1.0568900000000001</v>
      </c>
      <c r="M136" s="175">
        <f>VLOOKUP($D136,'2024Data to Complete Appendix C'!$C$8:$Q$313,9,FALSE)</f>
        <v>11.523300000000001</v>
      </c>
      <c r="N136" s="176">
        <f>VLOOKUP($D136,'2024Data to Complete Appendix C'!$C$8:$Q$313,10,FALSE)</f>
        <v>5.4997699999999997E-2</v>
      </c>
      <c r="O136" s="177">
        <f>VLOOKUP($D136,'2024Data to Complete Appendix C'!$C$8:$Q$313,11,FALSE)</f>
        <v>0.56699999999999995</v>
      </c>
      <c r="P136" s="177">
        <f>VLOOKUP($D136,'2024Data to Complete Appendix C'!$C$8:$Q$313,12,FALSE)</f>
        <v>0.77268000000000003</v>
      </c>
      <c r="Q136" s="177">
        <f>VLOOKUP($D136,'2024Data to Complete Appendix C'!$C$8:$Q$313,13,FALSE)</f>
        <v>0.63540872599999998</v>
      </c>
      <c r="R136" s="176">
        <f>VLOOKUP($D136,'2024Data to Complete Appendix C'!$C$8:$Q$313,14,FALSE)</f>
        <v>2.2999999999999998</v>
      </c>
      <c r="S136" s="177">
        <f>VLOOKUP($D136,'2024Data to Complete Appendix C'!$C$8:$Q$313,15,FALSE)</f>
        <v>0.50835200000000003</v>
      </c>
      <c r="T136" s="175">
        <f>IFERROR(VLOOKUP($D136,'2024_Lodging_by_WUP'!$A:$D,4,FALSE),0)</f>
        <v>0</v>
      </c>
      <c r="U136" s="175">
        <f t="shared" si="3"/>
        <v>0</v>
      </c>
      <c r="V136" s="178">
        <f>IFERROR(VLOOKUP($D136,Total_DU!$B$5:$AB$171,24,0),0)</f>
        <v>0</v>
      </c>
      <c r="W136" s="178">
        <f>IFERROR(VLOOKUP($D136,Total_DU!$B$5:$AB$174,25,0),0)</f>
        <v>0</v>
      </c>
      <c r="X136" s="178">
        <f>IFERROR(VLOOKUP($D136,Total_DU!$B$5:$AB$174,26,0),0)</f>
        <v>0</v>
      </c>
      <c r="Y136" s="178">
        <f>IFERROR(VLOOKUP($D136,Total_DU!$B$5:$AB$174,27,0),0)</f>
        <v>0</v>
      </c>
      <c r="Z136" s="178">
        <f>IFERROR(VLOOKUP($D136,Population!$B$5:$AA$175,23,FALSE),0)</f>
        <v>0</v>
      </c>
      <c r="AA136" s="178">
        <f>IFERROR(VLOOKUP($D136,Population!$B$5:$AA$175,24,FALSE),0)</f>
        <v>0</v>
      </c>
      <c r="AB136" s="178">
        <f>IFERROR(VLOOKUP($D136,Population!$B$5:$AA$175,25,FALSE),0)</f>
        <v>0</v>
      </c>
      <c r="AC136" s="178">
        <f>IFERROR(VLOOKUP($D136,Population!$B$5:$AA$175,26,FALSE),0)</f>
        <v>0</v>
      </c>
    </row>
    <row r="137" spans="1:29" x14ac:dyDescent="0.2">
      <c r="A137" s="1" t="s">
        <v>582</v>
      </c>
      <c r="B137" s="1" t="s">
        <v>583</v>
      </c>
      <c r="C137" s="1" t="s">
        <v>584</v>
      </c>
      <c r="D137" s="1">
        <v>742</v>
      </c>
      <c r="E137" s="1">
        <v>2024</v>
      </c>
      <c r="F137" s="175">
        <f>VLOOKUP($D137,'2024Data to Complete Appendix C'!$C$8:$Q$313,2,FALSE)</f>
        <v>29588</v>
      </c>
      <c r="G137" s="175">
        <f>VLOOKUP($D137,'2024Data to Complete Appendix C'!$C$8:$Q$313,3,FALSE)</f>
        <v>13513</v>
      </c>
      <c r="H137" s="175">
        <f>VLOOKUP($D137,'2024Data to Complete Appendix C'!$C$8:$Q$313,4,FALSE)</f>
        <v>493</v>
      </c>
      <c r="I137" s="175">
        <f>VLOOKUP($D137,'2024Data to Complete Appendix C'!$C$8:$Q$313,5,FALSE)</f>
        <v>15782</v>
      </c>
      <c r="J137" s="176">
        <f>VLOOKUP($D137,'2024Data to Complete Appendix C'!$C$8:$Q$313,6,FALSE)</f>
        <v>2.1896</v>
      </c>
      <c r="K137" s="176">
        <f>VLOOKUP($D137,'2024Data to Complete Appendix C'!$C$8:$Q$313,7,FALSE)</f>
        <v>1.95</v>
      </c>
      <c r="L137" s="176">
        <f>VLOOKUP($D137,'2024Data to Complete Appendix C'!$C$8:$Q$313,8,FALSE)</f>
        <v>1.0098100000000001</v>
      </c>
      <c r="M137" s="175">
        <f>VLOOKUP($D137,'2024Data to Complete Appendix C'!$C$8:$Q$313,9,FALSE)</f>
        <v>148.84800000000001</v>
      </c>
      <c r="N137" s="176">
        <f>VLOOKUP($D137,'2024Data to Complete Appendix C'!$C$8:$Q$313,10,FALSE)</f>
        <v>1.0895200000000001E-2</v>
      </c>
      <c r="O137" s="177">
        <f>VLOOKUP($D137,'2024Data to Complete Appendix C'!$C$8:$Q$313,11,FALSE)</f>
        <v>0.442</v>
      </c>
      <c r="P137" s="177">
        <f>VLOOKUP($D137,'2024Data to Complete Appendix C'!$C$8:$Q$313,12,FALSE)</f>
        <v>0.70704999999999996</v>
      </c>
      <c r="Q137" s="177">
        <f>VLOOKUP($D137,'2024Data to Complete Appendix C'!$C$8:$Q$313,13,FALSE)</f>
        <v>0.68291406099999996</v>
      </c>
      <c r="R137" s="176">
        <f>VLOOKUP($D137,'2024Data to Complete Appendix C'!$C$8:$Q$313,14,FALSE)</f>
        <v>2.7</v>
      </c>
      <c r="S137" s="177">
        <f>VLOOKUP($D137,'2024Data to Complete Appendix C'!$C$8:$Q$313,15,FALSE)</f>
        <v>-1.4293999999999999E-3</v>
      </c>
      <c r="T137" s="175">
        <f>IFERROR(VLOOKUP($D137,'2024_Lodging_by_WUP'!$A:$D,4,FALSE),0)</f>
        <v>340</v>
      </c>
      <c r="U137" s="175">
        <f t="shared" si="3"/>
        <v>626.91510799799994</v>
      </c>
      <c r="V137" s="178">
        <f>IFERROR(VLOOKUP($D137,Total_DU!$B$5:$AB$171,24,0),0)</f>
        <v>12393</v>
      </c>
      <c r="W137" s="178">
        <f>IFERROR(VLOOKUP($D137,Total_DU!$B$5:$AB$174,25,0),0)</f>
        <v>12516</v>
      </c>
      <c r="X137" s="178">
        <f>IFERROR(VLOOKUP($D137,Total_DU!$B$5:$AB$174,26,0),0)</f>
        <v>12549</v>
      </c>
      <c r="Y137" s="178">
        <f>IFERROR(VLOOKUP($D137,Total_DU!$B$5:$AB$174,27,0),0)</f>
        <v>12769</v>
      </c>
      <c r="Z137" s="178">
        <f>IFERROR(VLOOKUP($D137,Population!$B$5:$AA$175,23,FALSE),0)</f>
        <v>28834.104117014009</v>
      </c>
      <c r="AA137" s="178">
        <f>IFERROR(VLOOKUP($D137,Population!$B$5:$AA$175,24,FALSE),0)</f>
        <v>28932</v>
      </c>
      <c r="AB137" s="178">
        <f>IFERROR(VLOOKUP($D137,Population!$B$5:$AA$175,25,FALSE),0)</f>
        <v>29172</v>
      </c>
      <c r="AC137" s="178">
        <f>IFERROR(VLOOKUP($D137,Population!$B$5:$AA$175,26,FALSE),0)</f>
        <v>28877.516925602918</v>
      </c>
    </row>
    <row r="138" spans="1:29" x14ac:dyDescent="0.2">
      <c r="A138" s="1" t="s">
        <v>582</v>
      </c>
      <c r="B138" s="1" t="s">
        <v>585</v>
      </c>
      <c r="C138" s="1" t="s">
        <v>586</v>
      </c>
      <c r="D138" s="1">
        <v>2980</v>
      </c>
      <c r="E138" s="1">
        <v>2024</v>
      </c>
      <c r="F138" s="175">
        <f>VLOOKUP($D138,'2024Data to Complete Appendix C'!$C$8:$Q$313,2,FALSE)</f>
        <v>38861</v>
      </c>
      <c r="G138" s="175">
        <f>VLOOKUP($D138,'2024Data to Complete Appendix C'!$C$8:$Q$313,3,FALSE)</f>
        <v>19932</v>
      </c>
      <c r="H138" s="175">
        <f>VLOOKUP($D138,'2024Data to Complete Appendix C'!$C$8:$Q$313,4,FALSE)</f>
        <v>811</v>
      </c>
      <c r="I138" s="175">
        <f>VLOOKUP($D138,'2024Data to Complete Appendix C'!$C$8:$Q$313,5,FALSE)</f>
        <v>23536</v>
      </c>
      <c r="J138" s="176">
        <f>VLOOKUP($D138,'2024Data to Complete Appendix C'!$C$8:$Q$313,6,FALSE)</f>
        <v>1.9496800000000001</v>
      </c>
      <c r="K138" s="176">
        <f>VLOOKUP($D138,'2024Data to Complete Appendix C'!$C$8:$Q$313,7,FALSE)</f>
        <v>1.95</v>
      </c>
      <c r="L138" s="176">
        <f>VLOOKUP($D138,'2024Data to Complete Appendix C'!$C$8:$Q$313,8,FALSE)</f>
        <v>1.1125100000000001</v>
      </c>
      <c r="M138" s="175">
        <f>VLOOKUP($D138,'2024Data to Complete Appendix C'!$C$8:$Q$313,9,FALSE)</f>
        <v>2242.12</v>
      </c>
      <c r="N138" s="176">
        <f>VLOOKUP($D138,'2024Data to Complete Appendix C'!$C$8:$Q$313,10,FALSE)</f>
        <v>0.101114</v>
      </c>
      <c r="O138" s="177">
        <f>VLOOKUP($D138,'2024Data to Complete Appendix C'!$C$8:$Q$313,11,FALSE)</f>
        <v>0.442</v>
      </c>
      <c r="P138" s="177">
        <f>VLOOKUP($D138,'2024Data to Complete Appendix C'!$C$8:$Q$313,12,FALSE)</f>
        <v>0.70704999999999996</v>
      </c>
      <c r="Q138" s="177">
        <f>VLOOKUP($D138,'2024Data to Complete Appendix C'!$C$8:$Q$313,13,FALSE)</f>
        <v>0.68291406099999996</v>
      </c>
      <c r="R138" s="176">
        <f>VLOOKUP($D138,'2024Data to Complete Appendix C'!$C$8:$Q$313,14,FALSE)</f>
        <v>2.7</v>
      </c>
      <c r="S138" s="177">
        <f>VLOOKUP($D138,'2024Data to Complete Appendix C'!$C$8:$Q$313,15,FALSE)</f>
        <v>-0.21279000000000001</v>
      </c>
      <c r="T138" s="175">
        <f>IFERROR(VLOOKUP($D138,'2024_Lodging_by_WUP'!$A:$D,4,FALSE),0)</f>
        <v>463</v>
      </c>
      <c r="U138" s="175">
        <f t="shared" si="3"/>
        <v>853.71086765610005</v>
      </c>
      <c r="V138" s="178">
        <f>IFERROR(VLOOKUP($D138,Total_DU!$B$5:$AB$171,24,0),0)</f>
        <v>22843</v>
      </c>
      <c r="W138" s="178">
        <f>IFERROR(VLOOKUP($D138,Total_DU!$B$5:$AB$174,25,0),0)</f>
        <v>22797</v>
      </c>
      <c r="X138" s="178">
        <f>IFERROR(VLOOKUP($D138,Total_DU!$B$5:$AB$174,26,0),0)</f>
        <v>22720</v>
      </c>
      <c r="Y138" s="178">
        <f>IFERROR(VLOOKUP($D138,Total_DU!$B$5:$AB$174,27,0),0)</f>
        <v>22828</v>
      </c>
      <c r="Z138" s="178">
        <f>IFERROR(VLOOKUP($D138,Population!$B$5:$AA$175,23,FALSE),0)</f>
        <v>46161.441301793791</v>
      </c>
      <c r="AA138" s="178">
        <f>IFERROR(VLOOKUP($D138,Population!$B$5:$AA$175,24,FALSE),0)</f>
        <v>45791</v>
      </c>
      <c r="AB138" s="178">
        <f>IFERROR(VLOOKUP($D138,Population!$B$5:$AA$175,25,FALSE),0)</f>
        <v>45925</v>
      </c>
      <c r="AC138" s="178">
        <f>IFERROR(VLOOKUP($D138,Population!$B$5:$AA$175,26,FALSE),0)</f>
        <v>44837.351630968973</v>
      </c>
    </row>
    <row r="139" spans="1:29" x14ac:dyDescent="0.2">
      <c r="A139" s="1" t="s">
        <v>582</v>
      </c>
      <c r="B139" s="1" t="s">
        <v>587</v>
      </c>
      <c r="C139" s="1" t="s">
        <v>588</v>
      </c>
      <c r="D139" s="1">
        <v>2981</v>
      </c>
      <c r="E139" s="1">
        <v>2024</v>
      </c>
      <c r="F139" s="175">
        <f>VLOOKUP($D139,'2024Data to Complete Appendix C'!$C$8:$Q$313,2,FALSE)</f>
        <v>136218</v>
      </c>
      <c r="G139" s="175">
        <f>VLOOKUP($D139,'2024Data to Complete Appendix C'!$C$8:$Q$313,3,FALSE)</f>
        <v>63869</v>
      </c>
      <c r="H139" s="175">
        <f>VLOOKUP($D139,'2024Data to Complete Appendix C'!$C$8:$Q$313,4,FALSE)</f>
        <v>4294</v>
      </c>
      <c r="I139" s="175">
        <f>VLOOKUP($D139,'2024Data to Complete Appendix C'!$C$8:$Q$313,5,FALSE)</f>
        <v>76371</v>
      </c>
      <c r="J139" s="176">
        <f>VLOOKUP($D139,'2024Data to Complete Appendix C'!$C$8:$Q$313,6,FALSE)</f>
        <v>2.1327699999999998</v>
      </c>
      <c r="K139" s="176">
        <f>VLOOKUP($D139,'2024Data to Complete Appendix C'!$C$8:$Q$313,7,FALSE)</f>
        <v>1.95</v>
      </c>
      <c r="L139" s="176">
        <f>VLOOKUP($D139,'2024Data to Complete Appendix C'!$C$8:$Q$313,8,FALSE)</f>
        <v>1.05915</v>
      </c>
      <c r="M139" s="175">
        <f>VLOOKUP($D139,'2024Data to Complete Appendix C'!$C$8:$Q$313,9,FALSE)</f>
        <v>4132.03</v>
      </c>
      <c r="N139" s="176">
        <f>VLOOKUP($D139,'2024Data to Complete Appendix C'!$C$8:$Q$313,10,FALSE)</f>
        <v>6.0764199999999997E-2</v>
      </c>
      <c r="O139" s="177">
        <f>VLOOKUP($D139,'2024Data to Complete Appendix C'!$C$8:$Q$313,11,FALSE)</f>
        <v>0.442</v>
      </c>
      <c r="P139" s="177">
        <f>VLOOKUP($D139,'2024Data to Complete Appendix C'!$C$8:$Q$313,12,FALSE)</f>
        <v>0.70704999999999996</v>
      </c>
      <c r="Q139" s="177">
        <f>VLOOKUP($D139,'2024Data to Complete Appendix C'!$C$8:$Q$313,13,FALSE)</f>
        <v>0.68291406099999996</v>
      </c>
      <c r="R139" s="176">
        <f>VLOOKUP($D139,'2024Data to Complete Appendix C'!$C$8:$Q$313,14,FALSE)</f>
        <v>2.7</v>
      </c>
      <c r="S139" s="177">
        <f>VLOOKUP($D139,'2024Data to Complete Appendix C'!$C$8:$Q$313,15,FALSE)</f>
        <v>0.16889599999999999</v>
      </c>
      <c r="T139" s="175">
        <f>IFERROR(VLOOKUP($D139,'2024_Lodging_by_WUP'!$A:$D,4,FALSE),0)</f>
        <v>6716</v>
      </c>
      <c r="U139" s="175">
        <f t="shared" si="3"/>
        <v>12383.4172509252</v>
      </c>
      <c r="V139" s="178">
        <f>IFERROR(VLOOKUP($D139,Total_DU!$B$5:$AB$171,24,0),0)</f>
        <v>61106</v>
      </c>
      <c r="W139" s="178">
        <f>IFERROR(VLOOKUP($D139,Total_DU!$B$5:$AB$174,25,0),0)</f>
        <v>61403</v>
      </c>
      <c r="X139" s="178">
        <f>IFERROR(VLOOKUP($D139,Total_DU!$B$5:$AB$174,26,0),0)</f>
        <v>61513</v>
      </c>
      <c r="Y139" s="178">
        <f>IFERROR(VLOOKUP($D139,Total_DU!$B$5:$AB$174,27,0),0)</f>
        <v>61620</v>
      </c>
      <c r="Z139" s="178">
        <f>IFERROR(VLOOKUP($D139,Population!$B$5:$AA$175,23,FALSE),0)</f>
        <v>147007.28169820789</v>
      </c>
      <c r="AA139" s="178">
        <f>IFERROR(VLOOKUP($D139,Population!$B$5:$AA$175,24,FALSE),0)</f>
        <v>144112</v>
      </c>
      <c r="AB139" s="178">
        <f>IFERROR(VLOOKUP($D139,Population!$B$5:$AA$175,25,FALSE),0)</f>
        <v>147382</v>
      </c>
      <c r="AC139" s="178">
        <f>IFERROR(VLOOKUP($D139,Population!$B$5:$AA$175,26,FALSE),0)</f>
        <v>147035</v>
      </c>
    </row>
    <row r="140" spans="1:29" x14ac:dyDescent="0.2">
      <c r="A140" s="1" t="s">
        <v>582</v>
      </c>
      <c r="B140" s="1" t="s">
        <v>589</v>
      </c>
      <c r="C140" s="1" t="s">
        <v>590</v>
      </c>
      <c r="D140" s="1">
        <v>7692</v>
      </c>
      <c r="E140" s="1">
        <v>2024</v>
      </c>
      <c r="F140" s="175">
        <f>VLOOKUP($D140,'2024Data to Complete Appendix C'!$C$8:$Q$313,2,FALSE)</f>
        <v>5955</v>
      </c>
      <c r="G140" s="175">
        <f>VLOOKUP($D140,'2024Data to Complete Appendix C'!$C$8:$Q$313,3,FALSE)</f>
        <v>2878</v>
      </c>
      <c r="H140" s="175">
        <f>VLOOKUP($D140,'2024Data to Complete Appendix C'!$C$8:$Q$313,4,FALSE)</f>
        <v>124</v>
      </c>
      <c r="I140" s="175">
        <f>VLOOKUP($D140,'2024Data to Complete Appendix C'!$C$8:$Q$313,5,FALSE)</f>
        <v>3452</v>
      </c>
      <c r="J140" s="176">
        <f>VLOOKUP($D140,'2024Data to Complete Appendix C'!$C$8:$Q$313,6,FALSE)</f>
        <v>2.06915</v>
      </c>
      <c r="K140" s="176">
        <f>VLOOKUP($D140,'2024Data to Complete Appendix C'!$C$8:$Q$313,7,FALSE)</f>
        <v>1.95</v>
      </c>
      <c r="L140" s="176">
        <f>VLOOKUP($D140,'2024Data to Complete Appendix C'!$C$8:$Q$313,8,FALSE)</f>
        <v>1.0566199999999999</v>
      </c>
      <c r="M140" s="175">
        <f>VLOOKUP($D140,'2024Data to Complete Appendix C'!$C$8:$Q$313,9,FALSE)</f>
        <v>172.91499999999999</v>
      </c>
      <c r="N140" s="176">
        <f>VLOOKUP($D140,'2024Data to Complete Appendix C'!$C$8:$Q$313,10,FALSE)</f>
        <v>5.6676299999999999E-2</v>
      </c>
      <c r="O140" s="177">
        <f>VLOOKUP($D140,'2024Data to Complete Appendix C'!$C$8:$Q$313,11,FALSE)</f>
        <v>0.442</v>
      </c>
      <c r="P140" s="177">
        <f>VLOOKUP($D140,'2024Data to Complete Appendix C'!$C$8:$Q$313,12,FALSE)</f>
        <v>0.70704999999999996</v>
      </c>
      <c r="Q140" s="177">
        <f>VLOOKUP($D140,'2024Data to Complete Appendix C'!$C$8:$Q$313,13,FALSE)</f>
        <v>0.68291406099999996</v>
      </c>
      <c r="R140" s="176">
        <f>VLOOKUP($D140,'2024Data to Complete Appendix C'!$C$8:$Q$313,14,FALSE)</f>
        <v>2.7</v>
      </c>
      <c r="S140" s="177">
        <f>VLOOKUP($D140,'2024Data to Complete Appendix C'!$C$8:$Q$313,15,FALSE)</f>
        <v>4.7701599999999997E-2</v>
      </c>
      <c r="T140" s="175">
        <f>IFERROR(VLOOKUP($D140,'2024_Lodging_by_WUP'!$A:$D,4,FALSE),0)</f>
        <v>35</v>
      </c>
      <c r="U140" s="175">
        <f t="shared" si="3"/>
        <v>64.53537876450001</v>
      </c>
      <c r="V140" s="178">
        <f>IFERROR(VLOOKUP($D140,Total_DU!$B$5:$AB$171,24,0),0)</f>
        <v>2693</v>
      </c>
      <c r="W140" s="178">
        <f>IFERROR(VLOOKUP($D140,Total_DU!$B$5:$AB$174,25,0),0)</f>
        <v>2704</v>
      </c>
      <c r="X140" s="178">
        <f>IFERROR(VLOOKUP($D140,Total_DU!$B$5:$AB$174,26,0),0)</f>
        <v>2704</v>
      </c>
      <c r="Y140" s="178">
        <f>IFERROR(VLOOKUP($D140,Total_DU!$B$5:$AB$174,27,0),0)</f>
        <v>2563</v>
      </c>
      <c r="Z140" s="178">
        <f>IFERROR(VLOOKUP($D140,Population!$B$5:$AA$175,23,FALSE),0)</f>
        <v>5978.8337806714289</v>
      </c>
      <c r="AA140" s="178">
        <f>IFERROR(VLOOKUP($D140,Population!$B$5:$AA$175,24,FALSE),0)</f>
        <v>5985</v>
      </c>
      <c r="AB140" s="178">
        <f>IFERROR(VLOOKUP($D140,Population!$B$5:$AA$175,25,FALSE),0)</f>
        <v>6000</v>
      </c>
      <c r="AC140" s="178">
        <f>IFERROR(VLOOKUP($D140,Population!$B$5:$AA$175,26,FALSE),0)</f>
        <v>5389.2170191933001</v>
      </c>
    </row>
    <row r="141" spans="1:29" x14ac:dyDescent="0.2">
      <c r="A141" s="1" t="s">
        <v>582</v>
      </c>
      <c r="B141" s="1" t="s">
        <v>591</v>
      </c>
      <c r="C141" s="1" t="s">
        <v>452</v>
      </c>
      <c r="D141" s="1">
        <v>10350</v>
      </c>
      <c r="E141" s="1">
        <v>2024</v>
      </c>
      <c r="F141" s="175">
        <f>VLOOKUP($D141,'2024Data to Complete Appendix C'!$C$8:$Q$313,2,FALSE)</f>
        <v>789</v>
      </c>
      <c r="G141" s="175">
        <f>VLOOKUP($D141,'2024Data to Complete Appendix C'!$C$8:$Q$313,3,FALSE)</f>
        <v>457</v>
      </c>
      <c r="H141" s="175">
        <f>VLOOKUP($D141,'2024Data to Complete Appendix C'!$C$8:$Q$313,4,FALSE)</f>
        <v>0</v>
      </c>
      <c r="I141" s="175">
        <f>VLOOKUP($D141,'2024Data to Complete Appendix C'!$C$8:$Q$313,5,FALSE)</f>
        <v>590</v>
      </c>
      <c r="J141" s="176">
        <f>VLOOKUP($D141,'2024Data to Complete Appendix C'!$C$8:$Q$313,6,FALSE)</f>
        <v>1.72648</v>
      </c>
      <c r="K141" s="176">
        <f>VLOOKUP($D141,'2024Data to Complete Appendix C'!$C$8:$Q$313,7,FALSE)</f>
        <v>1.95</v>
      </c>
      <c r="L141" s="176">
        <f>VLOOKUP($D141,'2024Data to Complete Appendix C'!$C$8:$Q$313,8,FALSE)</f>
        <v>1.0855900000000001</v>
      </c>
      <c r="M141" s="175">
        <f>VLOOKUP($D141,'2024Data to Complete Appendix C'!$C$8:$Q$313,9,FALSE)</f>
        <v>34.6312</v>
      </c>
      <c r="N141" s="176">
        <f>VLOOKUP($D141,'2024Data to Complete Appendix C'!$C$8:$Q$313,10,FALSE)</f>
        <v>7.0441500000000004E-2</v>
      </c>
      <c r="O141" s="177">
        <f>VLOOKUP($D141,'2024Data to Complete Appendix C'!$C$8:$Q$313,11,FALSE)</f>
        <v>0.442</v>
      </c>
      <c r="P141" s="177">
        <f>VLOOKUP($D141,'2024Data to Complete Appendix C'!$C$8:$Q$313,12,FALSE)</f>
        <v>0.70704999999999996</v>
      </c>
      <c r="Q141" s="177">
        <f>VLOOKUP($D141,'2024Data to Complete Appendix C'!$C$8:$Q$313,13,FALSE)</f>
        <v>0.68291406099999996</v>
      </c>
      <c r="R141" s="176">
        <f>VLOOKUP($D141,'2024Data to Complete Appendix C'!$C$8:$Q$313,14,FALSE)</f>
        <v>2.7</v>
      </c>
      <c r="S141" s="177">
        <f>VLOOKUP($D141,'2024Data to Complete Appendix C'!$C$8:$Q$313,15,FALSE)</f>
        <v>-0.37002800000000002</v>
      </c>
      <c r="T141" s="175">
        <f>IFERROR(VLOOKUP($D141,'2024_Lodging_by_WUP'!$A:$D,4,FALSE),0)</f>
        <v>0</v>
      </c>
      <c r="U141" s="175">
        <f t="shared" si="3"/>
        <v>0</v>
      </c>
      <c r="V141" s="178" t="str">
        <f>IFERROR(VLOOKUP($D141,Total_DU!$B$5:$AB$171,24,0),0)</f>
        <v>NA</v>
      </c>
      <c r="W141" s="178" t="str">
        <f>IFERROR(VLOOKUP($D141,Total_DU!$B$5:$AB$174,25,0),0)</f>
        <v>NA</v>
      </c>
      <c r="X141" s="178" t="str">
        <f>IFERROR(VLOOKUP($D141,Total_DU!$B$5:$AB$174,26,0),0)</f>
        <v>NA</v>
      </c>
      <c r="Y141" s="178" t="str">
        <f>IFERROR(VLOOKUP($D141,Total_DU!$B$5:$AB$174,27,0),0)</f>
        <v>NA</v>
      </c>
      <c r="Z141" s="178" t="str">
        <f>IFERROR(VLOOKUP($D141,Population!$B$5:$AA$175,23,FALSE),0)</f>
        <v>NA</v>
      </c>
      <c r="AA141" s="178" t="str">
        <f>IFERROR(VLOOKUP($D141,Population!$B$5:$AA$175,24,FALSE),0)</f>
        <v>NA</v>
      </c>
      <c r="AB141" s="178" t="str">
        <f>IFERROR(VLOOKUP($D141,Population!$B$5:$AA$175,25,FALSE),0)</f>
        <v>NA</v>
      </c>
      <c r="AC141" s="178" t="str">
        <f>IFERROR(VLOOKUP($D141,Population!$B$5:$AA$175,26,FALSE),0)</f>
        <v>NA</v>
      </c>
    </row>
    <row r="142" spans="1:29" x14ac:dyDescent="0.2">
      <c r="A142" s="1" t="s">
        <v>582</v>
      </c>
      <c r="B142" s="1" t="s">
        <v>592</v>
      </c>
      <c r="C142" s="1" t="s">
        <v>593</v>
      </c>
      <c r="D142" s="1">
        <v>10795</v>
      </c>
      <c r="E142" s="1">
        <v>2024</v>
      </c>
      <c r="F142" s="175">
        <f>VLOOKUP($D142,'2024Data to Complete Appendix C'!$C$8:$Q$313,2,FALSE)</f>
        <v>13608</v>
      </c>
      <c r="G142" s="175">
        <f>VLOOKUP($D142,'2024Data to Complete Appendix C'!$C$8:$Q$313,3,FALSE)</f>
        <v>7223</v>
      </c>
      <c r="H142" s="175">
        <f>VLOOKUP($D142,'2024Data to Complete Appendix C'!$C$8:$Q$313,4,FALSE)</f>
        <v>142</v>
      </c>
      <c r="I142" s="175">
        <f>VLOOKUP($D142,'2024Data to Complete Appendix C'!$C$8:$Q$313,5,FALSE)</f>
        <v>8585</v>
      </c>
      <c r="J142" s="176">
        <f>VLOOKUP($D142,'2024Data to Complete Appendix C'!$C$8:$Q$313,6,FALSE)</f>
        <v>1.88398</v>
      </c>
      <c r="K142" s="176">
        <f>VLOOKUP($D142,'2024Data to Complete Appendix C'!$C$8:$Q$313,7,FALSE)</f>
        <v>1.95</v>
      </c>
      <c r="L142" s="176">
        <f>VLOOKUP($D142,'2024Data to Complete Appendix C'!$C$8:$Q$313,8,FALSE)</f>
        <v>1.1735100000000001</v>
      </c>
      <c r="M142" s="175">
        <f>VLOOKUP($D142,'2024Data to Complete Appendix C'!$C$8:$Q$313,9,FALSE)</f>
        <v>1210.8499999999999</v>
      </c>
      <c r="N142" s="176">
        <f>VLOOKUP($D142,'2024Data to Complete Appendix C'!$C$8:$Q$313,10,FALSE)</f>
        <v>0.14357</v>
      </c>
      <c r="O142" s="177">
        <f>VLOOKUP($D142,'2024Data to Complete Appendix C'!$C$8:$Q$313,11,FALSE)</f>
        <v>0.442</v>
      </c>
      <c r="P142" s="177">
        <f>VLOOKUP($D142,'2024Data to Complete Appendix C'!$C$8:$Q$313,12,FALSE)</f>
        <v>0.70704999999999996</v>
      </c>
      <c r="Q142" s="177">
        <f>VLOOKUP($D142,'2024Data to Complete Appendix C'!$C$8:$Q$313,13,FALSE)</f>
        <v>0.68291406099999996</v>
      </c>
      <c r="R142" s="176">
        <f>VLOOKUP($D142,'2024Data to Complete Appendix C'!$C$8:$Q$313,14,FALSE)</f>
        <v>2.7</v>
      </c>
      <c r="S142" s="177">
        <f>VLOOKUP($D142,'2024Data to Complete Appendix C'!$C$8:$Q$313,15,FALSE)</f>
        <v>-0.39489999999999997</v>
      </c>
      <c r="T142" s="175">
        <f>IFERROR(VLOOKUP($D142,'2024_Lodging_by_WUP'!$A:$D,4,FALSE),0)</f>
        <v>41</v>
      </c>
      <c r="U142" s="175">
        <f t="shared" si="3"/>
        <v>75.598586552699999</v>
      </c>
      <c r="V142" s="178">
        <f>IFERROR(VLOOKUP($D142,Total_DU!$B$5:$AB$171,24,0),0)</f>
        <v>7881</v>
      </c>
      <c r="W142" s="178">
        <f>IFERROR(VLOOKUP($D142,Total_DU!$B$5:$AB$174,25,0),0)</f>
        <v>7739</v>
      </c>
      <c r="X142" s="178">
        <f>IFERROR(VLOOKUP($D142,Total_DU!$B$5:$AB$174,26,0),0)</f>
        <v>7611</v>
      </c>
      <c r="Y142" s="178">
        <f>IFERROR(VLOOKUP($D142,Total_DU!$B$5:$AB$174,27,0),0)</f>
        <v>7601</v>
      </c>
      <c r="Z142" s="178">
        <f>IFERROR(VLOOKUP($D142,Population!$B$5:$AA$175,23,FALSE),0)</f>
        <v>15225.095750973367</v>
      </c>
      <c r="AA142" s="178">
        <f>IFERROR(VLOOKUP($D142,Population!$B$5:$AA$175,24,FALSE),0)</f>
        <v>14897</v>
      </c>
      <c r="AB142" s="178">
        <f>IFERROR(VLOOKUP($D142,Population!$B$5:$AA$175,25,FALSE),0)</f>
        <v>14573</v>
      </c>
      <c r="AC142" s="178">
        <f>IFERROR(VLOOKUP($D142,Population!$B$5:$AA$175,26,FALSE),0)</f>
        <v>13970.791795211589</v>
      </c>
    </row>
    <row r="143" spans="1:29" x14ac:dyDescent="0.2">
      <c r="A143" s="1" t="s">
        <v>582</v>
      </c>
      <c r="B143" s="1" t="s">
        <v>594</v>
      </c>
      <c r="C143" s="1" t="s">
        <v>595</v>
      </c>
      <c r="D143" s="1">
        <v>11218</v>
      </c>
      <c r="E143" s="1">
        <v>2024</v>
      </c>
      <c r="F143" s="175">
        <f>VLOOKUP($D143,'2024Data to Complete Appendix C'!$C$8:$Q$313,2,FALSE)</f>
        <v>20070</v>
      </c>
      <c r="G143" s="175">
        <f>VLOOKUP($D143,'2024Data to Complete Appendix C'!$C$8:$Q$313,3,FALSE)</f>
        <v>8244</v>
      </c>
      <c r="H143" s="175">
        <f>VLOOKUP($D143,'2024Data to Complete Appendix C'!$C$8:$Q$313,4,FALSE)</f>
        <v>117</v>
      </c>
      <c r="I143" s="175">
        <f>VLOOKUP($D143,'2024Data to Complete Appendix C'!$C$8:$Q$313,5,FALSE)</f>
        <v>8741</v>
      </c>
      <c r="J143" s="176">
        <f>VLOOKUP($D143,'2024Data to Complete Appendix C'!$C$8:$Q$313,6,FALSE)</f>
        <v>2.4344999999999999</v>
      </c>
      <c r="K143" s="176">
        <f>VLOOKUP($D143,'2024Data to Complete Appendix C'!$C$8:$Q$313,7,FALSE)</f>
        <v>1.95</v>
      </c>
      <c r="L143" s="176">
        <f>VLOOKUP($D143,'2024Data to Complete Appendix C'!$C$8:$Q$313,8,FALSE)</f>
        <v>1.05775</v>
      </c>
      <c r="M143" s="175">
        <f>VLOOKUP($D143,'2024Data to Complete Appendix C'!$C$8:$Q$313,9,FALSE)</f>
        <v>594.42499999999995</v>
      </c>
      <c r="N143" s="176">
        <f>VLOOKUP($D143,'2024Data to Complete Appendix C'!$C$8:$Q$313,10,FALSE)</f>
        <v>6.7254599999999998E-2</v>
      </c>
      <c r="O143" s="177">
        <f>VLOOKUP($D143,'2024Data to Complete Appendix C'!$C$8:$Q$313,11,FALSE)</f>
        <v>0.442</v>
      </c>
      <c r="P143" s="177">
        <f>VLOOKUP($D143,'2024Data to Complete Appendix C'!$C$8:$Q$313,12,FALSE)</f>
        <v>0.70704999999999996</v>
      </c>
      <c r="Q143" s="177">
        <f>VLOOKUP($D143,'2024Data to Complete Appendix C'!$C$8:$Q$313,13,FALSE)</f>
        <v>0.68291406099999996</v>
      </c>
      <c r="R143" s="176">
        <f>VLOOKUP($D143,'2024Data to Complete Appendix C'!$C$8:$Q$313,14,FALSE)</f>
        <v>2.7</v>
      </c>
      <c r="S143" s="177">
        <f>VLOOKUP($D143,'2024Data to Complete Appendix C'!$C$8:$Q$313,15,FALSE)</f>
        <v>0.56075900000000001</v>
      </c>
      <c r="T143" s="175">
        <f>IFERROR(VLOOKUP($D143,'2024_Lodging_by_WUP'!$A:$D,4,FALSE),0)</f>
        <v>482</v>
      </c>
      <c r="U143" s="175">
        <f t="shared" si="3"/>
        <v>888.74435898539991</v>
      </c>
      <c r="V143" s="178">
        <f>IFERROR(VLOOKUP($D143,Total_DU!$B$5:$AB$171,24,0),0)</f>
        <v>6452</v>
      </c>
      <c r="W143" s="178">
        <f>IFERROR(VLOOKUP($D143,Total_DU!$B$5:$AB$174,25,0),0)</f>
        <v>6586</v>
      </c>
      <c r="X143" s="178">
        <f>IFERROR(VLOOKUP($D143,Total_DU!$B$5:$AB$174,26,0),0)</f>
        <v>6602</v>
      </c>
      <c r="Y143" s="178">
        <f>IFERROR(VLOOKUP($D143,Total_DU!$B$5:$AB$174,27,0),0)</f>
        <v>6604</v>
      </c>
      <c r="Z143" s="178">
        <f>IFERROR(VLOOKUP($D143,Population!$B$5:$AA$175,23,FALSE),0)</f>
        <v>17437.549373272745</v>
      </c>
      <c r="AA143" s="178">
        <f>IFERROR(VLOOKUP($D143,Population!$B$5:$AA$175,24,FALSE),0)</f>
        <v>17529</v>
      </c>
      <c r="AB143" s="178">
        <f>IFERROR(VLOOKUP($D143,Population!$B$5:$AA$175,25,FALSE),0)</f>
        <v>17781</v>
      </c>
      <c r="AC143" s="178">
        <f>IFERROR(VLOOKUP($D143,Population!$B$5:$AA$175,26,FALSE),0)</f>
        <v>17475.299940118177</v>
      </c>
    </row>
    <row r="144" spans="1:29" x14ac:dyDescent="0.2">
      <c r="A144" s="1" t="s">
        <v>582</v>
      </c>
      <c r="B144" s="1" t="s">
        <v>596</v>
      </c>
      <c r="C144" s="1" t="s">
        <v>597</v>
      </c>
      <c r="D144" s="1">
        <v>11245</v>
      </c>
      <c r="E144" s="1">
        <v>2024</v>
      </c>
      <c r="F144" s="175">
        <f>VLOOKUP($D144,'2024Data to Complete Appendix C'!$C$8:$Q$313,2,FALSE)</f>
        <v>16336</v>
      </c>
      <c r="G144" s="175">
        <f>VLOOKUP($D144,'2024Data to Complete Appendix C'!$C$8:$Q$313,3,FALSE)</f>
        <v>7195</v>
      </c>
      <c r="H144" s="175">
        <f>VLOOKUP($D144,'2024Data to Complete Appendix C'!$C$8:$Q$313,4,FALSE)</f>
        <v>195</v>
      </c>
      <c r="I144" s="175">
        <f>VLOOKUP($D144,'2024Data to Complete Appendix C'!$C$8:$Q$313,5,FALSE)</f>
        <v>7737</v>
      </c>
      <c r="J144" s="176">
        <f>VLOOKUP($D144,'2024Data to Complete Appendix C'!$C$8:$Q$313,6,FALSE)</f>
        <v>2.27047</v>
      </c>
      <c r="K144" s="176">
        <f>VLOOKUP($D144,'2024Data to Complete Appendix C'!$C$8:$Q$313,7,FALSE)</f>
        <v>1.95</v>
      </c>
      <c r="L144" s="176">
        <f>VLOOKUP($D144,'2024Data to Complete Appendix C'!$C$8:$Q$313,8,FALSE)</f>
        <v>1.07423</v>
      </c>
      <c r="M144" s="175">
        <f>VLOOKUP($D144,'2024Data to Complete Appendix C'!$C$8:$Q$313,9,FALSE)</f>
        <v>621.87599999999998</v>
      </c>
      <c r="N144" s="176">
        <f>VLOOKUP($D144,'2024Data to Complete Appendix C'!$C$8:$Q$313,10,FALSE)</f>
        <v>7.9555500000000001E-2</v>
      </c>
      <c r="O144" s="177">
        <f>VLOOKUP($D144,'2024Data to Complete Appendix C'!$C$8:$Q$313,11,FALSE)</f>
        <v>0.442</v>
      </c>
      <c r="P144" s="177">
        <f>VLOOKUP($D144,'2024Data to Complete Appendix C'!$C$8:$Q$313,12,FALSE)</f>
        <v>0.70704999999999996</v>
      </c>
      <c r="Q144" s="177">
        <f>VLOOKUP($D144,'2024Data to Complete Appendix C'!$C$8:$Q$313,13,FALSE)</f>
        <v>0.68291406099999996</v>
      </c>
      <c r="R144" s="176">
        <f>VLOOKUP($D144,'2024Data to Complete Appendix C'!$C$8:$Q$313,14,FALSE)</f>
        <v>2.7</v>
      </c>
      <c r="S144" s="177">
        <f>VLOOKUP($D144,'2024Data to Complete Appendix C'!$C$8:$Q$313,15,FALSE)</f>
        <v>-0.41530800000000001</v>
      </c>
      <c r="T144" s="175">
        <f>IFERROR(VLOOKUP($D144,'2024_Lodging_by_WUP'!$A:$D,4,FALSE),0)</f>
        <v>230</v>
      </c>
      <c r="U144" s="175">
        <f t="shared" si="3"/>
        <v>424.089631881</v>
      </c>
      <c r="V144" s="178">
        <f>IFERROR(VLOOKUP($D144,Total_DU!$B$5:$AB$171,24,0),0)</f>
        <v>6504</v>
      </c>
      <c r="W144" s="178">
        <f>IFERROR(VLOOKUP($D144,Total_DU!$B$5:$AB$174,25,0),0)</f>
        <v>6835</v>
      </c>
      <c r="X144" s="178">
        <f>IFERROR(VLOOKUP($D144,Total_DU!$B$5:$AB$174,26,0),0)</f>
        <v>6827</v>
      </c>
      <c r="Y144" s="178">
        <f>IFERROR(VLOOKUP($D144,Total_DU!$B$5:$AB$174,27,0),0)</f>
        <v>6835</v>
      </c>
      <c r="Z144" s="178">
        <f>IFERROR(VLOOKUP($D144,Population!$B$5:$AA$175,23,FALSE),0)</f>
        <v>15125.72413328784</v>
      </c>
      <c r="AA144" s="178">
        <f>IFERROR(VLOOKUP($D144,Population!$B$5:$AA$175,24,FALSE),0)</f>
        <v>15778</v>
      </c>
      <c r="AB144" s="178">
        <f>IFERROR(VLOOKUP($D144,Population!$B$5:$AA$175,25,FALSE),0)</f>
        <v>15861</v>
      </c>
      <c r="AC144" s="178">
        <f>IFERROR(VLOOKUP($D144,Population!$B$5:$AA$175,26,FALSE),0)</f>
        <v>15633.885488267251</v>
      </c>
    </row>
    <row r="145" spans="1:29" x14ac:dyDescent="0.2">
      <c r="A145" s="1" t="s">
        <v>582</v>
      </c>
      <c r="B145" s="1" t="s">
        <v>598</v>
      </c>
      <c r="C145" s="1" t="s">
        <v>599</v>
      </c>
      <c r="D145" s="1">
        <v>12351</v>
      </c>
      <c r="E145" s="1">
        <v>2024</v>
      </c>
      <c r="F145" s="175">
        <f>VLOOKUP($D145,'2024Data to Complete Appendix C'!$C$8:$Q$313,2,FALSE)</f>
        <v>58045</v>
      </c>
      <c r="G145" s="175">
        <f>VLOOKUP($D145,'2024Data to Complete Appendix C'!$C$8:$Q$313,3,FALSE)</f>
        <v>25718</v>
      </c>
      <c r="H145" s="175">
        <f>VLOOKUP($D145,'2024Data to Complete Appendix C'!$C$8:$Q$313,4,FALSE)</f>
        <v>786</v>
      </c>
      <c r="I145" s="175">
        <f>VLOOKUP($D145,'2024Data to Complete Appendix C'!$C$8:$Q$313,5,FALSE)</f>
        <v>28480</v>
      </c>
      <c r="J145" s="176">
        <f>VLOOKUP($D145,'2024Data to Complete Appendix C'!$C$8:$Q$313,6,FALSE)</f>
        <v>2.25698</v>
      </c>
      <c r="K145" s="176">
        <f>VLOOKUP($D145,'2024Data to Complete Appendix C'!$C$8:$Q$313,7,FALSE)</f>
        <v>1.95</v>
      </c>
      <c r="L145" s="176">
        <f>VLOOKUP($D145,'2024Data to Complete Appendix C'!$C$8:$Q$313,8,FALSE)</f>
        <v>1.0476799999999999</v>
      </c>
      <c r="M145" s="175">
        <f>VLOOKUP($D145,'2024Data to Complete Appendix C'!$C$8:$Q$313,9,FALSE)</f>
        <v>1419.32</v>
      </c>
      <c r="N145" s="176">
        <f>VLOOKUP($D145,'2024Data to Complete Appendix C'!$C$8:$Q$313,10,FALSE)</f>
        <v>5.2301300000000002E-2</v>
      </c>
      <c r="O145" s="177">
        <f>VLOOKUP($D145,'2024Data to Complete Appendix C'!$C$8:$Q$313,11,FALSE)</f>
        <v>0.442</v>
      </c>
      <c r="P145" s="177">
        <f>VLOOKUP($D145,'2024Data to Complete Appendix C'!$C$8:$Q$313,12,FALSE)</f>
        <v>0.70704999999999996</v>
      </c>
      <c r="Q145" s="177">
        <f>VLOOKUP($D145,'2024Data to Complete Appendix C'!$C$8:$Q$313,13,FALSE)</f>
        <v>0.68291406099999996</v>
      </c>
      <c r="R145" s="176">
        <f>VLOOKUP($D145,'2024Data to Complete Appendix C'!$C$8:$Q$313,14,FALSE)</f>
        <v>2.7</v>
      </c>
      <c r="S145" s="177">
        <f>VLOOKUP($D145,'2024Data to Complete Appendix C'!$C$8:$Q$313,15,FALSE)</f>
        <v>0.61807800000000002</v>
      </c>
      <c r="T145" s="175">
        <f>IFERROR(VLOOKUP($D145,'2024_Lodging_by_WUP'!$A:$D,4,FALSE),0)</f>
        <v>562</v>
      </c>
      <c r="U145" s="175">
        <f t="shared" si="3"/>
        <v>1036.2537961614</v>
      </c>
      <c r="V145" s="178">
        <f>IFERROR(VLOOKUP($D145,Total_DU!$B$5:$AB$171,24,0),0)</f>
        <v>26208</v>
      </c>
      <c r="W145" s="178">
        <f>IFERROR(VLOOKUP($D145,Total_DU!$B$5:$AB$174,25,0),0)</f>
        <v>26870</v>
      </c>
      <c r="X145" s="178">
        <f>IFERROR(VLOOKUP($D145,Total_DU!$B$5:$AB$174,26,0),0)</f>
        <v>24479</v>
      </c>
      <c r="Y145" s="178">
        <f>IFERROR(VLOOKUP($D145,Total_DU!$B$5:$AB$174,27,0),0)</f>
        <v>29886</v>
      </c>
      <c r="Z145" s="178">
        <f>IFERROR(VLOOKUP($D145,Population!$B$5:$AA$175,23,FALSE),0)</f>
        <v>64740.231190650593</v>
      </c>
      <c r="AA145" s="178">
        <f>IFERROR(VLOOKUP($D145,Population!$B$5:$AA$175,24,FALSE),0)</f>
        <v>66254</v>
      </c>
      <c r="AB145" s="178">
        <f>IFERROR(VLOOKUP($D145,Population!$B$5:$AA$175,25,FALSE),0)</f>
        <v>60675</v>
      </c>
      <c r="AC145" s="178">
        <f>IFERROR(VLOOKUP($D145,Population!$B$5:$AA$175,26,FALSE),0)</f>
        <v>72347.705030029174</v>
      </c>
    </row>
    <row r="146" spans="1:29" x14ac:dyDescent="0.2">
      <c r="A146" s="1" t="s">
        <v>582</v>
      </c>
      <c r="B146" s="1" t="s">
        <v>600</v>
      </c>
      <c r="C146" s="1" t="s">
        <v>601</v>
      </c>
      <c r="D146" s="1">
        <v>20142</v>
      </c>
      <c r="E146" s="1">
        <v>2024</v>
      </c>
      <c r="F146" s="175">
        <f>VLOOKUP($D146,'2024Data to Complete Appendix C'!$C$8:$Q$313,2,FALSE)</f>
        <v>380577</v>
      </c>
      <c r="G146" s="175">
        <f>VLOOKUP($D146,'2024Data to Complete Appendix C'!$C$8:$Q$313,3,FALSE)</f>
        <v>179508</v>
      </c>
      <c r="H146" s="175">
        <f>VLOOKUP($D146,'2024Data to Complete Appendix C'!$C$8:$Q$313,4,FALSE)</f>
        <v>7084</v>
      </c>
      <c r="I146" s="175">
        <f>VLOOKUP($D146,'2024Data to Complete Appendix C'!$C$8:$Q$313,5,FALSE)</f>
        <v>214139</v>
      </c>
      <c r="J146" s="176">
        <f>VLOOKUP($D146,'2024Data to Complete Appendix C'!$C$8:$Q$313,6,FALSE)</f>
        <v>2.1201099999999999</v>
      </c>
      <c r="K146" s="176">
        <f>VLOOKUP($D146,'2024Data to Complete Appendix C'!$C$8:$Q$313,7,FALSE)</f>
        <v>1.95</v>
      </c>
      <c r="L146" s="176">
        <f>VLOOKUP($D146,'2024Data to Complete Appendix C'!$C$8:$Q$313,8,FALSE)</f>
        <v>1.0722100000000001</v>
      </c>
      <c r="M146" s="175">
        <f>VLOOKUP($D146,'2024Data to Complete Appendix C'!$C$8:$Q$313,9,FALSE)</f>
        <v>14092.6</v>
      </c>
      <c r="N146" s="176">
        <f>VLOOKUP($D146,'2024Data to Complete Appendix C'!$C$8:$Q$313,10,FALSE)</f>
        <v>7.2791900000000007E-2</v>
      </c>
      <c r="O146" s="177">
        <f>VLOOKUP($D146,'2024Data to Complete Appendix C'!$C$8:$Q$313,11,FALSE)</f>
        <v>0.442</v>
      </c>
      <c r="P146" s="177">
        <f>VLOOKUP($D146,'2024Data to Complete Appendix C'!$C$8:$Q$313,12,FALSE)</f>
        <v>0.70704999999999996</v>
      </c>
      <c r="Q146" s="177">
        <f>VLOOKUP($D146,'2024Data to Complete Appendix C'!$C$8:$Q$313,13,FALSE)</f>
        <v>0.68291406099999996</v>
      </c>
      <c r="R146" s="176">
        <f>VLOOKUP($D146,'2024Data to Complete Appendix C'!$C$8:$Q$313,14,FALSE)</f>
        <v>2.7</v>
      </c>
      <c r="S146" s="177">
        <f>VLOOKUP($D146,'2024Data to Complete Appendix C'!$C$8:$Q$313,15,FALSE)</f>
        <v>-8.7380899999999997E-2</v>
      </c>
      <c r="T146" s="175">
        <f>IFERROR(VLOOKUP($D146,'2024_Lodging_by_WUP'!$A:$D,4,FALSE),0)</f>
        <v>12177</v>
      </c>
      <c r="U146" s="175">
        <f t="shared" si="3"/>
        <v>22452.7802061519</v>
      </c>
      <c r="V146" s="178">
        <f>IFERROR(VLOOKUP($D146,Total_DU!$B$5:$AB$171,24,0),0)</f>
        <v>228919</v>
      </c>
      <c r="W146" s="178">
        <f>IFERROR(VLOOKUP($D146,Total_DU!$B$5:$AB$174,25,0),0)</f>
        <v>235642</v>
      </c>
      <c r="X146" s="178">
        <f>IFERROR(VLOOKUP($D146,Total_DU!$B$5:$AB$174,26,0),0)</f>
        <v>206030</v>
      </c>
      <c r="Y146" s="178">
        <f>IFERROR(VLOOKUP($D146,Total_DU!$B$5:$AB$174,27,0),0)</f>
        <v>221882</v>
      </c>
      <c r="Z146" s="178">
        <f>IFERROR(VLOOKUP($D146,Population!$B$5:$AA$175,23,FALSE),0)</f>
        <v>509136.986381786</v>
      </c>
      <c r="AA146" s="178">
        <f>IFERROR(VLOOKUP($D146,Population!$B$5:$AA$175,24,FALSE),0)</f>
        <v>516659</v>
      </c>
      <c r="AB146" s="178">
        <f>IFERROR(VLOOKUP($D146,Population!$B$5:$AA$175,25,FALSE),0)</f>
        <v>459313</v>
      </c>
      <c r="AC146" s="178">
        <f>IFERROR(VLOOKUP($D146,Population!$B$5:$AA$175,26,FALSE),0)</f>
        <v>488433</v>
      </c>
    </row>
    <row r="147" spans="1:29" x14ac:dyDescent="0.2">
      <c r="A147" s="1" t="s">
        <v>582</v>
      </c>
      <c r="B147" s="1" t="s">
        <v>602</v>
      </c>
      <c r="C147" s="1" t="s">
        <v>603</v>
      </c>
      <c r="D147" s="1">
        <v>20143</v>
      </c>
      <c r="E147" s="1">
        <v>2024</v>
      </c>
      <c r="F147" s="175">
        <f>VLOOKUP($D147,'2024Data to Complete Appendix C'!$C$8:$Q$313,2,FALSE)</f>
        <v>294671</v>
      </c>
      <c r="G147" s="175">
        <f>VLOOKUP($D147,'2024Data to Complete Appendix C'!$C$8:$Q$313,3,FALSE)</f>
        <v>141430</v>
      </c>
      <c r="H147" s="175">
        <f>VLOOKUP($D147,'2024Data to Complete Appendix C'!$C$8:$Q$313,4,FALSE)</f>
        <v>7380</v>
      </c>
      <c r="I147" s="175">
        <f>VLOOKUP($D147,'2024Data to Complete Appendix C'!$C$8:$Q$313,5,FALSE)</f>
        <v>160376</v>
      </c>
      <c r="J147" s="176">
        <f>VLOOKUP($D147,'2024Data to Complete Appendix C'!$C$8:$Q$313,6,FALSE)</f>
        <v>2.08351</v>
      </c>
      <c r="K147" s="176">
        <f>VLOOKUP($D147,'2024Data to Complete Appendix C'!$C$8:$Q$313,7,FALSE)</f>
        <v>1.95</v>
      </c>
      <c r="L147" s="176">
        <f>VLOOKUP($D147,'2024Data to Complete Appendix C'!$C$8:$Q$313,8,FALSE)</f>
        <v>1.0634300000000001</v>
      </c>
      <c r="M147" s="175">
        <f>VLOOKUP($D147,'2024Data to Complete Appendix C'!$C$8:$Q$313,9,FALSE)</f>
        <v>9584.43</v>
      </c>
      <c r="N147" s="176">
        <f>VLOOKUP($D147,'2024Data to Complete Appendix C'!$C$8:$Q$313,10,FALSE)</f>
        <v>6.3466999999999996E-2</v>
      </c>
      <c r="O147" s="177">
        <f>VLOOKUP($D147,'2024Data to Complete Appendix C'!$C$8:$Q$313,11,FALSE)</f>
        <v>0.442</v>
      </c>
      <c r="P147" s="177">
        <f>VLOOKUP($D147,'2024Data to Complete Appendix C'!$C$8:$Q$313,12,FALSE)</f>
        <v>0.70704999999999996</v>
      </c>
      <c r="Q147" s="177">
        <f>VLOOKUP($D147,'2024Data to Complete Appendix C'!$C$8:$Q$313,13,FALSE)</f>
        <v>0.68291406099999996</v>
      </c>
      <c r="R147" s="176">
        <f>VLOOKUP($D147,'2024Data to Complete Appendix C'!$C$8:$Q$313,14,FALSE)</f>
        <v>2.7</v>
      </c>
      <c r="S147" s="177">
        <f>VLOOKUP($D147,'2024Data to Complete Appendix C'!$C$8:$Q$313,15,FALSE)</f>
        <v>5.3931800000000002E-2</v>
      </c>
      <c r="T147" s="175">
        <f>IFERROR(VLOOKUP($D147,'2024_Lodging_by_WUP'!$A:$D,4,FALSE),0)</f>
        <v>4965</v>
      </c>
      <c r="U147" s="175">
        <f t="shared" si="3"/>
        <v>9154.8044447355005</v>
      </c>
      <c r="V147" s="178">
        <f>IFERROR(VLOOKUP($D147,Total_DU!$B$5:$AB$171,24,0),0)</f>
        <v>158243</v>
      </c>
      <c r="W147" s="178">
        <f>IFERROR(VLOOKUP($D147,Total_DU!$B$5:$AB$174,25,0),0)</f>
        <v>158276</v>
      </c>
      <c r="X147" s="178">
        <f>IFERROR(VLOOKUP($D147,Total_DU!$B$5:$AB$174,26,0),0)</f>
        <v>158811</v>
      </c>
      <c r="Y147" s="178">
        <f>IFERROR(VLOOKUP($D147,Total_DU!$B$5:$AB$174,27,0),0)</f>
        <v>159675</v>
      </c>
      <c r="Z147" s="178">
        <f>IFERROR(VLOOKUP($D147,Population!$B$5:$AA$175,23,FALSE),0)</f>
        <v>353552.81116674421</v>
      </c>
      <c r="AA147" s="178">
        <f>IFERROR(VLOOKUP($D147,Population!$B$5:$AA$175,24,FALSE),0)</f>
        <v>350725</v>
      </c>
      <c r="AB147" s="178">
        <f>IFERROR(VLOOKUP($D147,Population!$B$5:$AA$175,25,FALSE),0)</f>
        <v>353923</v>
      </c>
      <c r="AC147" s="178">
        <f>IFERROR(VLOOKUP($D147,Population!$B$5:$AA$175,26,FALSE),0)</f>
        <v>344174</v>
      </c>
    </row>
    <row r="148" spans="1:29" x14ac:dyDescent="0.2">
      <c r="A148" s="1" t="s">
        <v>604</v>
      </c>
      <c r="B148" s="1" t="s">
        <v>605</v>
      </c>
      <c r="C148" s="1" t="s">
        <v>606</v>
      </c>
      <c r="D148" s="1">
        <v>143</v>
      </c>
      <c r="E148" s="1">
        <v>2024</v>
      </c>
      <c r="F148" s="175">
        <f>VLOOKUP($D148,'2024Data to Complete Appendix C'!$C$8:$Q$313,2,FALSE)</f>
        <v>254</v>
      </c>
      <c r="G148" s="175">
        <f>VLOOKUP($D148,'2024Data to Complete Appendix C'!$C$8:$Q$313,3,FALSE)</f>
        <v>91</v>
      </c>
      <c r="H148" s="175">
        <f>VLOOKUP($D148,'2024Data to Complete Appendix C'!$C$8:$Q$313,4,FALSE)</f>
        <v>0</v>
      </c>
      <c r="I148" s="175">
        <f>VLOOKUP($D148,'2024Data to Complete Appendix C'!$C$8:$Q$313,5,FALSE)</f>
        <v>140</v>
      </c>
      <c r="J148" s="176">
        <f>VLOOKUP($D148,'2024Data to Complete Appendix C'!$C$8:$Q$313,6,FALSE)</f>
        <v>2.79121</v>
      </c>
      <c r="K148" s="176">
        <f>VLOOKUP($D148,'2024Data to Complete Appendix C'!$C$8:$Q$313,7,FALSE)</f>
        <v>1.95</v>
      </c>
      <c r="L148" s="176">
        <f>VLOOKUP($D148,'2024Data to Complete Appendix C'!$C$8:$Q$313,8,FALSE)</f>
        <v>1.2141</v>
      </c>
      <c r="M148" s="175">
        <f>VLOOKUP($D148,'2024Data to Complete Appendix C'!$C$8:$Q$313,9,FALSE)</f>
        <v>27.888400000000001</v>
      </c>
      <c r="N148" s="176">
        <f>VLOOKUP($D148,'2024Data to Complete Appendix C'!$C$8:$Q$313,10,FALSE)</f>
        <v>0.23457700000000001</v>
      </c>
      <c r="O148" s="177">
        <f>VLOOKUP($D148,'2024Data to Complete Appendix C'!$C$8:$Q$313,11,FALSE)</f>
        <v>0.56699999999999995</v>
      </c>
      <c r="P148" s="177">
        <f>VLOOKUP($D148,'2024Data to Complete Appendix C'!$C$8:$Q$313,12,FALSE)</f>
        <v>0.77268000000000003</v>
      </c>
      <c r="Q148" s="177">
        <f>VLOOKUP($D148,'2024Data to Complete Appendix C'!$C$8:$Q$313,13,FALSE)</f>
        <v>0.62213407799999998</v>
      </c>
      <c r="R148" s="176">
        <f>VLOOKUP($D148,'2024Data to Complete Appendix C'!$C$8:$Q$313,14,FALSE)</f>
        <v>2.2999999999999998</v>
      </c>
      <c r="S148" s="177">
        <f>VLOOKUP($D148,'2024Data to Complete Appendix C'!$C$8:$Q$313,15,FALSE)</f>
        <v>-0.16576099999999999</v>
      </c>
      <c r="T148" s="175">
        <f>IFERROR(VLOOKUP($D148,'2024_Lodging_by_WUP'!$A:$D,4,FALSE),0)</f>
        <v>0</v>
      </c>
      <c r="U148" s="175">
        <f t="shared" si="3"/>
        <v>0</v>
      </c>
      <c r="V148" s="178">
        <f>IFERROR(VLOOKUP($D148,Total_DU!$B$5:$AB$171,24,0),0)</f>
        <v>0</v>
      </c>
      <c r="W148" s="178">
        <f>IFERROR(VLOOKUP($D148,Total_DU!$B$5:$AB$174,25,0),0)</f>
        <v>0</v>
      </c>
      <c r="X148" s="178">
        <f>IFERROR(VLOOKUP($D148,Total_DU!$B$5:$AB$174,26,0),0)</f>
        <v>0</v>
      </c>
      <c r="Y148" s="178">
        <f>IFERROR(VLOOKUP($D148,Total_DU!$B$5:$AB$174,27,0),0)</f>
        <v>0</v>
      </c>
      <c r="Z148" s="178">
        <f>IFERROR(VLOOKUP($D148,Population!$B$5:$AA$175,23,FALSE),0)</f>
        <v>0</v>
      </c>
      <c r="AA148" s="178">
        <f>IFERROR(VLOOKUP($D148,Population!$B$5:$AA$175,24,FALSE),0)</f>
        <v>0</v>
      </c>
      <c r="AB148" s="178">
        <f>IFERROR(VLOOKUP($D148,Population!$B$5:$AA$175,25,FALSE),0)</f>
        <v>0</v>
      </c>
      <c r="AC148" s="178">
        <f>IFERROR(VLOOKUP($D148,Population!$B$5:$AA$175,26,FALSE),0)</f>
        <v>0</v>
      </c>
    </row>
    <row r="149" spans="1:29" x14ac:dyDescent="0.2">
      <c r="A149" s="1" t="s">
        <v>604</v>
      </c>
      <c r="B149" s="1" t="s">
        <v>607</v>
      </c>
      <c r="C149" s="1" t="s">
        <v>608</v>
      </c>
      <c r="D149" s="1">
        <v>341</v>
      </c>
      <c r="E149" s="1">
        <v>2024</v>
      </c>
      <c r="F149" s="175">
        <f>VLOOKUP($D149,'2024Data to Complete Appendix C'!$C$8:$Q$313,2,FALSE)</f>
        <v>28050</v>
      </c>
      <c r="G149" s="175">
        <f>VLOOKUP($D149,'2024Data to Complete Appendix C'!$C$8:$Q$313,3,FALSE)</f>
        <v>10375</v>
      </c>
      <c r="H149" s="175">
        <f>VLOOKUP($D149,'2024Data to Complete Appendix C'!$C$8:$Q$313,4,FALSE)</f>
        <v>865</v>
      </c>
      <c r="I149" s="175">
        <f>VLOOKUP($D149,'2024Data to Complete Appendix C'!$C$8:$Q$313,5,FALSE)</f>
        <v>11370</v>
      </c>
      <c r="J149" s="176">
        <f>VLOOKUP($D149,'2024Data to Complete Appendix C'!$C$8:$Q$313,6,FALSE)</f>
        <v>2.7036099999999998</v>
      </c>
      <c r="K149" s="176">
        <f>VLOOKUP($D149,'2024Data to Complete Appendix C'!$C$8:$Q$313,7,FALSE)</f>
        <v>1.95</v>
      </c>
      <c r="L149" s="176">
        <f>VLOOKUP($D149,'2024Data to Complete Appendix C'!$C$8:$Q$313,8,FALSE)</f>
        <v>1.04996</v>
      </c>
      <c r="M149" s="175">
        <f>VLOOKUP($D149,'2024Data to Complete Appendix C'!$C$8:$Q$313,9,FALSE)</f>
        <v>718.721</v>
      </c>
      <c r="N149" s="176">
        <f>VLOOKUP($D149,'2024Data to Complete Appendix C'!$C$8:$Q$313,10,FALSE)</f>
        <v>6.4786300000000005E-2</v>
      </c>
      <c r="O149" s="177">
        <f>VLOOKUP($D149,'2024Data to Complete Appendix C'!$C$8:$Q$313,11,FALSE)</f>
        <v>0.56699999999999995</v>
      </c>
      <c r="P149" s="177">
        <f>VLOOKUP($D149,'2024Data to Complete Appendix C'!$C$8:$Q$313,12,FALSE)</f>
        <v>0.77268000000000003</v>
      </c>
      <c r="Q149" s="177">
        <f>VLOOKUP($D149,'2024Data to Complete Appendix C'!$C$8:$Q$313,13,FALSE)</f>
        <v>0.62213407799999998</v>
      </c>
      <c r="R149" s="176">
        <f>VLOOKUP($D149,'2024Data to Complete Appendix C'!$C$8:$Q$313,14,FALSE)</f>
        <v>2.2999999999999998</v>
      </c>
      <c r="S149" s="177">
        <f>VLOOKUP($D149,'2024Data to Complete Appendix C'!$C$8:$Q$313,15,FALSE)</f>
        <v>0.313726</v>
      </c>
      <c r="T149" s="175">
        <f>IFERROR(VLOOKUP($D149,'2024_Lodging_by_WUP'!$A:$D,4,FALSE),0)</f>
        <v>325</v>
      </c>
      <c r="U149" s="175">
        <f t="shared" si="3"/>
        <v>465.04522330499998</v>
      </c>
      <c r="V149" s="178">
        <f>IFERROR(VLOOKUP($D149,Total_DU!$B$5:$AB$171,24,0),0)</f>
        <v>9118</v>
      </c>
      <c r="W149" s="178">
        <f>IFERROR(VLOOKUP($D149,Total_DU!$B$5:$AB$174,25,0),0)</f>
        <v>9385</v>
      </c>
      <c r="X149" s="178">
        <f>IFERROR(VLOOKUP($D149,Total_DU!$B$5:$AB$174,26,0),0)</f>
        <v>9513</v>
      </c>
      <c r="Y149" s="178">
        <f>IFERROR(VLOOKUP($D149,Total_DU!$B$5:$AB$174,27,0),0)</f>
        <v>9934</v>
      </c>
      <c r="Z149" s="178">
        <f>IFERROR(VLOOKUP($D149,Population!$B$5:$AA$175,23,FALSE),0)</f>
        <v>26298.377818174009</v>
      </c>
      <c r="AA149" s="178">
        <f>IFERROR(VLOOKUP($D149,Population!$B$5:$AA$175,24,FALSE),0)</f>
        <v>26951</v>
      </c>
      <c r="AB149" s="178">
        <f>IFERROR(VLOOKUP($D149,Population!$B$5:$AA$175,25,FALSE),0)</f>
        <v>27430</v>
      </c>
      <c r="AC149" s="178">
        <f>IFERROR(VLOOKUP($D149,Population!$B$5:$AA$175,26,FALSE),0)</f>
        <v>28072.557317562016</v>
      </c>
    </row>
    <row r="150" spans="1:29" x14ac:dyDescent="0.2">
      <c r="A150" s="1" t="s">
        <v>604</v>
      </c>
      <c r="B150" s="1" t="s">
        <v>609</v>
      </c>
      <c r="C150" s="1" t="s">
        <v>610</v>
      </c>
      <c r="D150" s="1">
        <v>587</v>
      </c>
      <c r="E150" s="1">
        <v>2024</v>
      </c>
      <c r="F150" s="175">
        <f>VLOOKUP($D150,'2024Data to Complete Appendix C'!$C$8:$Q$313,2,FALSE)</f>
        <v>176</v>
      </c>
      <c r="G150" s="175">
        <f>VLOOKUP($D150,'2024Data to Complete Appendix C'!$C$8:$Q$313,3,FALSE)</f>
        <v>103</v>
      </c>
      <c r="H150" s="175">
        <f>VLOOKUP($D150,'2024Data to Complete Appendix C'!$C$8:$Q$313,4,FALSE)</f>
        <v>0</v>
      </c>
      <c r="I150" s="175">
        <f>VLOOKUP($D150,'2024Data to Complete Appendix C'!$C$8:$Q$313,5,FALSE)</f>
        <v>206</v>
      </c>
      <c r="J150" s="176">
        <f>VLOOKUP($D150,'2024Data to Complete Appendix C'!$C$8:$Q$313,6,FALSE)</f>
        <v>1.7087399999999999</v>
      </c>
      <c r="K150" s="176">
        <f>VLOOKUP($D150,'2024Data to Complete Appendix C'!$C$8:$Q$313,7,FALSE)</f>
        <v>1.95</v>
      </c>
      <c r="L150" s="176">
        <f>VLOOKUP($D150,'2024Data to Complete Appendix C'!$C$8:$Q$313,8,FALSE)</f>
        <v>1.11354</v>
      </c>
      <c r="M150" s="175">
        <f>VLOOKUP($D150,'2024Data to Complete Appendix C'!$C$8:$Q$313,9,FALSE)</f>
        <v>10.2476</v>
      </c>
      <c r="N150" s="176">
        <f>VLOOKUP($D150,'2024Data to Complete Appendix C'!$C$8:$Q$313,10,FALSE)</f>
        <v>9.0488499999999999E-2</v>
      </c>
      <c r="O150" s="177">
        <f>VLOOKUP($D150,'2024Data to Complete Appendix C'!$C$8:$Q$313,11,FALSE)</f>
        <v>0.56699999999999995</v>
      </c>
      <c r="P150" s="177">
        <f>VLOOKUP($D150,'2024Data to Complete Appendix C'!$C$8:$Q$313,12,FALSE)</f>
        <v>0.77268000000000003</v>
      </c>
      <c r="Q150" s="177">
        <f>VLOOKUP($D150,'2024Data to Complete Appendix C'!$C$8:$Q$313,13,FALSE)</f>
        <v>0.62213407799999998</v>
      </c>
      <c r="R150" s="176">
        <f>VLOOKUP($D150,'2024Data to Complete Appendix C'!$C$8:$Q$313,14,FALSE)</f>
        <v>2.2999999999999998</v>
      </c>
      <c r="S150" s="177">
        <f>VLOOKUP($D150,'2024Data to Complete Appendix C'!$C$8:$Q$313,15,FALSE)</f>
        <v>0.53072600000000003</v>
      </c>
      <c r="T150" s="175">
        <f>IFERROR(VLOOKUP($D150,'2024_Lodging_by_WUP'!$A:$D,4,FALSE),0)</f>
        <v>0</v>
      </c>
      <c r="U150" s="175">
        <f t="shared" si="3"/>
        <v>0</v>
      </c>
      <c r="V150" s="178">
        <f>IFERROR(VLOOKUP($D150,Total_DU!$B$5:$AB$171,24,0),0)</f>
        <v>0</v>
      </c>
      <c r="W150" s="178">
        <f>IFERROR(VLOOKUP($D150,Total_DU!$B$5:$AB$174,25,0),0)</f>
        <v>0</v>
      </c>
      <c r="X150" s="178">
        <f>IFERROR(VLOOKUP($D150,Total_DU!$B$5:$AB$174,26,0),0)</f>
        <v>0</v>
      </c>
      <c r="Y150" s="178">
        <f>IFERROR(VLOOKUP($D150,Total_DU!$B$5:$AB$174,27,0),0)</f>
        <v>0</v>
      </c>
      <c r="Z150" s="178">
        <f>IFERROR(VLOOKUP($D150,Population!$B$5:$AA$175,23,FALSE),0)</f>
        <v>0</v>
      </c>
      <c r="AA150" s="178">
        <f>IFERROR(VLOOKUP($D150,Population!$B$5:$AA$175,24,FALSE),0)</f>
        <v>0</v>
      </c>
      <c r="AB150" s="178">
        <f>IFERROR(VLOOKUP($D150,Population!$B$5:$AA$175,25,FALSE),0)</f>
        <v>0</v>
      </c>
      <c r="AC150" s="178">
        <f>IFERROR(VLOOKUP($D150,Population!$B$5:$AA$175,26,FALSE),0)</f>
        <v>0</v>
      </c>
    </row>
    <row r="151" spans="1:29" x14ac:dyDescent="0.2">
      <c r="A151" s="1" t="s">
        <v>604</v>
      </c>
      <c r="B151" s="1" t="s">
        <v>611</v>
      </c>
      <c r="C151" s="1" t="s">
        <v>612</v>
      </c>
      <c r="D151" s="1">
        <v>645</v>
      </c>
      <c r="E151" s="1">
        <v>2024</v>
      </c>
      <c r="F151" s="175">
        <f>VLOOKUP($D151,'2024Data to Complete Appendix C'!$C$8:$Q$313,2,FALSE)</f>
        <v>7479</v>
      </c>
      <c r="G151" s="175">
        <f>VLOOKUP($D151,'2024Data to Complete Appendix C'!$C$8:$Q$313,3,FALSE)</f>
        <v>2766</v>
      </c>
      <c r="H151" s="175">
        <f>VLOOKUP($D151,'2024Data to Complete Appendix C'!$C$8:$Q$313,4,FALSE)</f>
        <v>0</v>
      </c>
      <c r="I151" s="175">
        <f>VLOOKUP($D151,'2024Data to Complete Appendix C'!$C$8:$Q$313,5,FALSE)</f>
        <v>3495</v>
      </c>
      <c r="J151" s="176">
        <f>VLOOKUP($D151,'2024Data to Complete Appendix C'!$C$8:$Q$313,6,FALSE)</f>
        <v>2.7039</v>
      </c>
      <c r="K151" s="176">
        <f>VLOOKUP($D151,'2024Data to Complete Appendix C'!$C$8:$Q$313,7,FALSE)</f>
        <v>1.95</v>
      </c>
      <c r="L151" s="176">
        <f>VLOOKUP($D151,'2024Data to Complete Appendix C'!$C$8:$Q$313,8,FALSE)</f>
        <v>1.0811599999999999</v>
      </c>
      <c r="M151" s="175">
        <f>VLOOKUP($D151,'2024Data to Complete Appendix C'!$C$8:$Q$313,9,FALSE)</f>
        <v>311.27199999999999</v>
      </c>
      <c r="N151" s="176">
        <f>VLOOKUP($D151,'2024Data to Complete Appendix C'!$C$8:$Q$313,10,FALSE)</f>
        <v>0.10115200000000001</v>
      </c>
      <c r="O151" s="177">
        <f>VLOOKUP($D151,'2024Data to Complete Appendix C'!$C$8:$Q$313,11,FALSE)</f>
        <v>0.56699999999999995</v>
      </c>
      <c r="P151" s="177">
        <f>VLOOKUP($D151,'2024Data to Complete Appendix C'!$C$8:$Q$313,12,FALSE)</f>
        <v>0.77268000000000003</v>
      </c>
      <c r="Q151" s="177">
        <f>VLOOKUP($D151,'2024Data to Complete Appendix C'!$C$8:$Q$313,13,FALSE)</f>
        <v>0.62213407799999998</v>
      </c>
      <c r="R151" s="176">
        <f>VLOOKUP($D151,'2024Data to Complete Appendix C'!$C$8:$Q$313,14,FALSE)</f>
        <v>2.2999999999999998</v>
      </c>
      <c r="S151" s="177">
        <f>VLOOKUP($D151,'2024Data to Complete Appendix C'!$C$8:$Q$313,15,FALSE)</f>
        <v>-0.425678</v>
      </c>
      <c r="T151" s="175">
        <f>IFERROR(VLOOKUP($D151,'2024_Lodging_by_WUP'!$A:$D,4,FALSE),0)</f>
        <v>1</v>
      </c>
      <c r="U151" s="175">
        <f t="shared" si="3"/>
        <v>1.4309083793999999</v>
      </c>
      <c r="V151" s="178">
        <f>IFERROR(VLOOKUP($D151,Total_DU!$B$5:$AB$171,24,0),0)</f>
        <v>1931</v>
      </c>
      <c r="W151" s="178">
        <f>IFERROR(VLOOKUP($D151,Total_DU!$B$5:$AB$174,25,0),0)</f>
        <v>2135</v>
      </c>
      <c r="X151" s="178">
        <f>IFERROR(VLOOKUP($D151,Total_DU!$B$5:$AB$174,26,0),0)</f>
        <v>2199</v>
      </c>
      <c r="Y151" s="178">
        <f>IFERROR(VLOOKUP($D151,Total_DU!$B$5:$AB$174,27,0),0)</f>
        <v>2236</v>
      </c>
      <c r="Z151" s="178">
        <f>IFERROR(VLOOKUP($D151,Population!$B$5:$AA$175,23,FALSE),0)</f>
        <v>5330.5488121238686</v>
      </c>
      <c r="AA151" s="178">
        <f>IFERROR(VLOOKUP($D151,Population!$B$5:$AA$175,24,FALSE),0)</f>
        <v>5893</v>
      </c>
      <c r="AB151" s="178">
        <f>IFERROR(VLOOKUP($D151,Population!$B$5:$AA$175,25,FALSE),0)</f>
        <v>6070</v>
      </c>
      <c r="AC151" s="178">
        <f>IFERROR(VLOOKUP($D151,Population!$B$5:$AA$175,26,FALSE),0)</f>
        <v>5776.6550767805802</v>
      </c>
    </row>
    <row r="152" spans="1:29" x14ac:dyDescent="0.2">
      <c r="A152" s="1" t="s">
        <v>604</v>
      </c>
      <c r="B152" s="1" t="s">
        <v>613</v>
      </c>
      <c r="C152" s="1" t="s">
        <v>614</v>
      </c>
      <c r="D152" s="1">
        <v>1616</v>
      </c>
      <c r="E152" s="1">
        <v>2024</v>
      </c>
      <c r="F152" s="175">
        <f>VLOOKUP($D152,'2024Data to Complete Appendix C'!$C$8:$Q$313,2,FALSE)</f>
        <v>686</v>
      </c>
      <c r="G152" s="175">
        <f>VLOOKUP($D152,'2024Data to Complete Appendix C'!$C$8:$Q$313,3,FALSE)</f>
        <v>371</v>
      </c>
      <c r="H152" s="175">
        <f>VLOOKUP($D152,'2024Data to Complete Appendix C'!$C$8:$Q$313,4,FALSE)</f>
        <v>0</v>
      </c>
      <c r="I152" s="175">
        <f>VLOOKUP($D152,'2024Data to Complete Appendix C'!$C$8:$Q$313,5,FALSE)</f>
        <v>679</v>
      </c>
      <c r="J152" s="176">
        <f>VLOOKUP($D152,'2024Data to Complete Appendix C'!$C$8:$Q$313,6,FALSE)</f>
        <v>1.8490599999999999</v>
      </c>
      <c r="K152" s="176">
        <f>VLOOKUP($D152,'2024Data to Complete Appendix C'!$C$8:$Q$313,7,FALSE)</f>
        <v>1.95</v>
      </c>
      <c r="L152" s="176">
        <f>VLOOKUP($D152,'2024Data to Complete Appendix C'!$C$8:$Q$313,8,FALSE)</f>
        <v>1.0980099999999999</v>
      </c>
      <c r="M152" s="175">
        <f>VLOOKUP($D152,'2024Data to Complete Appendix C'!$C$8:$Q$313,9,FALSE)</f>
        <v>34.477800000000002</v>
      </c>
      <c r="N152" s="176">
        <f>VLOOKUP($D152,'2024Data to Complete Appendix C'!$C$8:$Q$313,10,FALSE)</f>
        <v>8.5030099999999997E-2</v>
      </c>
      <c r="O152" s="177">
        <f>VLOOKUP($D152,'2024Data to Complete Appendix C'!$C$8:$Q$313,11,FALSE)</f>
        <v>0.56699999999999995</v>
      </c>
      <c r="P152" s="177">
        <f>VLOOKUP($D152,'2024Data to Complete Appendix C'!$C$8:$Q$313,12,FALSE)</f>
        <v>0.77268000000000003</v>
      </c>
      <c r="Q152" s="177">
        <f>VLOOKUP($D152,'2024Data to Complete Appendix C'!$C$8:$Q$313,13,FALSE)</f>
        <v>0.62213407799999998</v>
      </c>
      <c r="R152" s="176">
        <f>VLOOKUP($D152,'2024Data to Complete Appendix C'!$C$8:$Q$313,14,FALSE)</f>
        <v>2.2999999999999998</v>
      </c>
      <c r="S152" s="177">
        <f>VLOOKUP($D152,'2024Data to Complete Appendix C'!$C$8:$Q$313,15,FALSE)</f>
        <v>-0.103645</v>
      </c>
      <c r="T152" s="175">
        <f>IFERROR(VLOOKUP($D152,'2024_Lodging_by_WUP'!$A:$D,4,FALSE),0)</f>
        <v>0</v>
      </c>
      <c r="U152" s="175">
        <f t="shared" si="3"/>
        <v>0</v>
      </c>
      <c r="V152" s="178" t="str">
        <f>IFERROR(VLOOKUP($D152,Total_DU!$B$5:$AB$171,24,0),0)</f>
        <v>NA</v>
      </c>
      <c r="W152" s="178" t="str">
        <f>IFERROR(VLOOKUP($D152,Total_DU!$B$5:$AB$174,25,0),0)</f>
        <v>NA</v>
      </c>
      <c r="X152" s="178" t="str">
        <f>IFERROR(VLOOKUP($D152,Total_DU!$B$5:$AB$174,26,0),0)</f>
        <v>NA</v>
      </c>
      <c r="Y152" s="178" t="str">
        <f>IFERROR(VLOOKUP($D152,Total_DU!$B$5:$AB$174,27,0),0)</f>
        <v>NA</v>
      </c>
      <c r="Z152" s="178" t="str">
        <f>IFERROR(VLOOKUP($D152,Population!$B$5:$AA$175,23,FALSE),0)</f>
        <v>NA</v>
      </c>
      <c r="AA152" s="178" t="str">
        <f>IFERROR(VLOOKUP($D152,Population!$B$5:$AA$175,24,FALSE),0)</f>
        <v>NA</v>
      </c>
      <c r="AB152" s="178" t="str">
        <f>IFERROR(VLOOKUP($D152,Population!$B$5:$AA$175,25,FALSE),0)</f>
        <v>NA</v>
      </c>
      <c r="AC152" s="178" t="str">
        <f>IFERROR(VLOOKUP($D152,Population!$B$5:$AA$175,26,FALSE),0)</f>
        <v>NA</v>
      </c>
    </row>
    <row r="153" spans="1:29" x14ac:dyDescent="0.2">
      <c r="A153" s="1" t="s">
        <v>604</v>
      </c>
      <c r="B153" s="1" t="s">
        <v>615</v>
      </c>
      <c r="C153" s="1" t="s">
        <v>616</v>
      </c>
      <c r="D153" s="1">
        <v>1625</v>
      </c>
      <c r="E153" s="1">
        <v>2024</v>
      </c>
      <c r="F153" s="175">
        <f>VLOOKUP($D153,'2024Data to Complete Appendix C'!$C$8:$Q$313,2,FALSE)</f>
        <v>1666</v>
      </c>
      <c r="G153" s="175">
        <f>VLOOKUP($D153,'2024Data to Complete Appendix C'!$C$8:$Q$313,3,FALSE)</f>
        <v>855</v>
      </c>
      <c r="H153" s="175">
        <f>VLOOKUP($D153,'2024Data to Complete Appendix C'!$C$8:$Q$313,4,FALSE)</f>
        <v>0</v>
      </c>
      <c r="I153" s="175">
        <f>VLOOKUP($D153,'2024Data to Complete Appendix C'!$C$8:$Q$313,5,FALSE)</f>
        <v>1025</v>
      </c>
      <c r="J153" s="176">
        <f>VLOOKUP($D153,'2024Data to Complete Appendix C'!$C$8:$Q$313,6,FALSE)</f>
        <v>1.9485399999999999</v>
      </c>
      <c r="K153" s="176">
        <f>VLOOKUP($D153,'2024Data to Complete Appendix C'!$C$8:$Q$313,7,FALSE)</f>
        <v>1.95</v>
      </c>
      <c r="L153" s="176">
        <f>VLOOKUP($D153,'2024Data to Complete Appendix C'!$C$8:$Q$313,8,FALSE)</f>
        <v>1.1099699999999999</v>
      </c>
      <c r="M153" s="175">
        <f>VLOOKUP($D153,'2024Data to Complete Appendix C'!$C$8:$Q$313,9,FALSE)</f>
        <v>93.956800000000001</v>
      </c>
      <c r="N153" s="176">
        <f>VLOOKUP($D153,'2024Data to Complete Appendix C'!$C$8:$Q$313,10,FALSE)</f>
        <v>9.9010600000000004E-2</v>
      </c>
      <c r="O153" s="177">
        <f>VLOOKUP($D153,'2024Data to Complete Appendix C'!$C$8:$Q$313,11,FALSE)</f>
        <v>0.56699999999999995</v>
      </c>
      <c r="P153" s="177">
        <f>VLOOKUP($D153,'2024Data to Complete Appendix C'!$C$8:$Q$313,12,FALSE)</f>
        <v>0.77268000000000003</v>
      </c>
      <c r="Q153" s="177">
        <f>VLOOKUP($D153,'2024Data to Complete Appendix C'!$C$8:$Q$313,13,FALSE)</f>
        <v>0.62213407799999998</v>
      </c>
      <c r="R153" s="176">
        <f>VLOOKUP($D153,'2024Data to Complete Appendix C'!$C$8:$Q$313,14,FALSE)</f>
        <v>2.2999999999999998</v>
      </c>
      <c r="S153" s="177">
        <f>VLOOKUP($D153,'2024Data to Complete Appendix C'!$C$8:$Q$313,15,FALSE)</f>
        <v>-0.13492999999999999</v>
      </c>
      <c r="T153" s="175">
        <f>IFERROR(VLOOKUP($D153,'2024_Lodging_by_WUP'!$A:$D,4,FALSE),0)</f>
        <v>0</v>
      </c>
      <c r="U153" s="175">
        <f t="shared" si="3"/>
        <v>0</v>
      </c>
      <c r="V153" s="178">
        <f>IFERROR(VLOOKUP($D153,Total_DU!$B$5:$AB$171,24,0),0)</f>
        <v>814</v>
      </c>
      <c r="W153" s="178">
        <f>IFERROR(VLOOKUP($D153,Total_DU!$B$5:$AB$174,25,0),0)</f>
        <v>814</v>
      </c>
      <c r="X153" s="178">
        <f>IFERROR(VLOOKUP($D153,Total_DU!$B$5:$AB$174,26,0),0)</f>
        <v>814</v>
      </c>
      <c r="Y153" s="178">
        <f>IFERROR(VLOOKUP($D153,Total_DU!$B$5:$AB$174,27,0),0)</f>
        <v>814</v>
      </c>
      <c r="Z153" s="178">
        <f>IFERROR(VLOOKUP($D153,Population!$B$5:$AA$175,23,FALSE),0)</f>
        <v>1447.8741274030713</v>
      </c>
      <c r="AA153" s="178">
        <f>IFERROR(VLOOKUP($D153,Population!$B$5:$AA$175,24,FALSE),0)</f>
        <v>1448</v>
      </c>
      <c r="AB153" s="178">
        <f>IFERROR(VLOOKUP($D153,Population!$B$5:$AA$175,25,FALSE),0)</f>
        <v>1448</v>
      </c>
      <c r="AC153" s="178">
        <f>IFERROR(VLOOKUP($D153,Population!$B$5:$AA$175,26,FALSE),0)</f>
        <v>1550.5014808175531</v>
      </c>
    </row>
    <row r="154" spans="1:29" x14ac:dyDescent="0.2">
      <c r="A154" s="1" t="s">
        <v>604</v>
      </c>
      <c r="B154" s="1" t="s">
        <v>617</v>
      </c>
      <c r="C154" s="1" t="s">
        <v>618</v>
      </c>
      <c r="D154" s="1">
        <v>2083</v>
      </c>
      <c r="E154" s="1">
        <v>2024</v>
      </c>
      <c r="F154" s="175">
        <f>VLOOKUP($D154,'2024Data to Complete Appendix C'!$C$8:$Q$313,2,FALSE)</f>
        <v>343</v>
      </c>
      <c r="G154" s="175">
        <f>VLOOKUP($D154,'2024Data to Complete Appendix C'!$C$8:$Q$313,3,FALSE)</f>
        <v>130</v>
      </c>
      <c r="H154" s="175">
        <f>VLOOKUP($D154,'2024Data to Complete Appendix C'!$C$8:$Q$313,4,FALSE)</f>
        <v>0</v>
      </c>
      <c r="I154" s="175">
        <f>VLOOKUP($D154,'2024Data to Complete Appendix C'!$C$8:$Q$313,5,FALSE)</f>
        <v>139</v>
      </c>
      <c r="J154" s="176">
        <f>VLOOKUP($D154,'2024Data to Complete Appendix C'!$C$8:$Q$313,6,FALSE)</f>
        <v>2.6384599999999998</v>
      </c>
      <c r="K154" s="176">
        <f>VLOOKUP($D154,'2024Data to Complete Appendix C'!$C$8:$Q$313,7,FALSE)</f>
        <v>1.95</v>
      </c>
      <c r="L154" s="176">
        <f>VLOOKUP($D154,'2024Data to Complete Appendix C'!$C$8:$Q$313,8,FALSE)</f>
        <v>1.04996</v>
      </c>
      <c r="M154" s="175">
        <f>VLOOKUP($D154,'2024Data to Complete Appendix C'!$C$8:$Q$313,9,FALSE)</f>
        <v>8.7886399999999991</v>
      </c>
      <c r="N154" s="176">
        <f>VLOOKUP($D154,'2024Data to Complete Appendix C'!$C$8:$Q$313,10,FALSE)</f>
        <v>6.3323900000000002E-2</v>
      </c>
      <c r="O154" s="177">
        <f>VLOOKUP($D154,'2024Data to Complete Appendix C'!$C$8:$Q$313,11,FALSE)</f>
        <v>0.56699999999999995</v>
      </c>
      <c r="P154" s="177">
        <f>VLOOKUP($D154,'2024Data to Complete Appendix C'!$C$8:$Q$313,12,FALSE)</f>
        <v>0.77268000000000003</v>
      </c>
      <c r="Q154" s="177">
        <f>VLOOKUP($D154,'2024Data to Complete Appendix C'!$C$8:$Q$313,13,FALSE)</f>
        <v>0.62213407799999998</v>
      </c>
      <c r="R154" s="176">
        <f>VLOOKUP($D154,'2024Data to Complete Appendix C'!$C$8:$Q$313,14,FALSE)</f>
        <v>2.2999999999999998</v>
      </c>
      <c r="S154" s="177">
        <f>VLOOKUP($D154,'2024Data to Complete Appendix C'!$C$8:$Q$313,15,FALSE)</f>
        <v>-0.569828</v>
      </c>
      <c r="T154" s="175">
        <f>IFERROR(VLOOKUP($D154,'2024_Lodging_by_WUP'!$A:$D,4,FALSE),0)</f>
        <v>0</v>
      </c>
      <c r="U154" s="175">
        <f t="shared" si="3"/>
        <v>0</v>
      </c>
      <c r="V154" s="178">
        <f>IFERROR(VLOOKUP($D154,Total_DU!$B$5:$AB$171,24,0),0)</f>
        <v>0</v>
      </c>
      <c r="W154" s="178">
        <f>IFERROR(VLOOKUP($D154,Total_DU!$B$5:$AB$174,25,0),0)</f>
        <v>0</v>
      </c>
      <c r="X154" s="178">
        <f>IFERROR(VLOOKUP($D154,Total_DU!$B$5:$AB$174,26,0),0)</f>
        <v>0</v>
      </c>
      <c r="Y154" s="178">
        <f>IFERROR(VLOOKUP($D154,Total_DU!$B$5:$AB$174,27,0),0)</f>
        <v>0</v>
      </c>
      <c r="Z154" s="178">
        <f>IFERROR(VLOOKUP($D154,Population!$B$5:$AA$175,23,FALSE),0)</f>
        <v>0</v>
      </c>
      <c r="AA154" s="178">
        <f>IFERROR(VLOOKUP($D154,Population!$B$5:$AA$175,24,FALSE),0)</f>
        <v>0</v>
      </c>
      <c r="AB154" s="178">
        <f>IFERROR(VLOOKUP($D154,Population!$B$5:$AA$175,25,FALSE),0)</f>
        <v>0</v>
      </c>
      <c r="AC154" s="178">
        <f>IFERROR(VLOOKUP($D154,Population!$B$5:$AA$175,26,FALSE),0)</f>
        <v>0</v>
      </c>
    </row>
    <row r="155" spans="1:29" x14ac:dyDescent="0.2">
      <c r="A155" s="1" t="s">
        <v>604</v>
      </c>
      <c r="B155" s="1" t="s">
        <v>619</v>
      </c>
      <c r="C155" s="1" t="s">
        <v>620</v>
      </c>
      <c r="D155" s="1">
        <v>2332</v>
      </c>
      <c r="E155" s="1">
        <v>2024</v>
      </c>
      <c r="F155" s="175">
        <f>VLOOKUP($D155,'2024Data to Complete Appendix C'!$C$8:$Q$313,2,FALSE)</f>
        <v>2029</v>
      </c>
      <c r="G155" s="175">
        <f>VLOOKUP($D155,'2024Data to Complete Appendix C'!$C$8:$Q$313,3,FALSE)</f>
        <v>792</v>
      </c>
      <c r="H155" s="175">
        <f>VLOOKUP($D155,'2024Data to Complete Appendix C'!$C$8:$Q$313,4,FALSE)</f>
        <v>0</v>
      </c>
      <c r="I155" s="175">
        <f>VLOOKUP($D155,'2024Data to Complete Appendix C'!$C$8:$Q$313,5,FALSE)</f>
        <v>1060</v>
      </c>
      <c r="J155" s="176">
        <f>VLOOKUP($D155,'2024Data to Complete Appendix C'!$C$8:$Q$313,6,FALSE)</f>
        <v>2.5618699999999999</v>
      </c>
      <c r="K155" s="176">
        <f>VLOOKUP($D155,'2024Data to Complete Appendix C'!$C$8:$Q$313,7,FALSE)</f>
        <v>1.95</v>
      </c>
      <c r="L155" s="176">
        <f>VLOOKUP($D155,'2024Data to Complete Appendix C'!$C$8:$Q$313,8,FALSE)</f>
        <v>1.1508799999999999</v>
      </c>
      <c r="M155" s="175">
        <f>VLOOKUP($D155,'2024Data to Complete Appendix C'!$C$8:$Q$313,9,FALSE)</f>
        <v>156.994</v>
      </c>
      <c r="N155" s="176">
        <f>VLOOKUP($D155,'2024Data to Complete Appendix C'!$C$8:$Q$313,10,FALSE)</f>
        <v>0.165432</v>
      </c>
      <c r="O155" s="177">
        <f>VLOOKUP($D155,'2024Data to Complete Appendix C'!$C$8:$Q$313,11,FALSE)</f>
        <v>0.56699999999999995</v>
      </c>
      <c r="P155" s="177">
        <f>VLOOKUP($D155,'2024Data to Complete Appendix C'!$C$8:$Q$313,12,FALSE)</f>
        <v>0.77268000000000003</v>
      </c>
      <c r="Q155" s="177">
        <f>VLOOKUP($D155,'2024Data to Complete Appendix C'!$C$8:$Q$313,13,FALSE)</f>
        <v>0.62213407799999998</v>
      </c>
      <c r="R155" s="176">
        <f>VLOOKUP($D155,'2024Data to Complete Appendix C'!$C$8:$Q$313,14,FALSE)</f>
        <v>2.2999999999999998</v>
      </c>
      <c r="S155" s="177">
        <f>VLOOKUP($D155,'2024Data to Complete Appendix C'!$C$8:$Q$313,15,FALSE)</f>
        <v>-0.103645</v>
      </c>
      <c r="T155" s="175">
        <f>IFERROR(VLOOKUP($D155,'2024_Lodging_by_WUP'!$A:$D,4,FALSE),0)</f>
        <v>120</v>
      </c>
      <c r="U155" s="175">
        <f t="shared" si="3"/>
        <v>171.70900552799998</v>
      </c>
      <c r="V155" s="178">
        <f>IFERROR(VLOOKUP($D155,Total_DU!$B$5:$AB$171,24,0),0)</f>
        <v>778</v>
      </c>
      <c r="W155" s="178">
        <f>IFERROR(VLOOKUP($D155,Total_DU!$B$5:$AB$174,25,0),0)</f>
        <v>817</v>
      </c>
      <c r="X155" s="178">
        <f>IFERROR(VLOOKUP($D155,Total_DU!$B$5:$AB$174,26,0),0)</f>
        <v>836</v>
      </c>
      <c r="Y155" s="178">
        <f>IFERROR(VLOOKUP($D155,Total_DU!$B$5:$AB$174,27,0),0)</f>
        <v>997</v>
      </c>
      <c r="Z155" s="178">
        <f>IFERROR(VLOOKUP($D155,Population!$B$5:$AA$175,23,FALSE),0)</f>
        <v>1892.6499178643321</v>
      </c>
      <c r="AA155" s="178">
        <f>IFERROR(VLOOKUP($D155,Population!$B$5:$AA$175,24,FALSE),0)</f>
        <v>1968</v>
      </c>
      <c r="AB155" s="178">
        <f>IFERROR(VLOOKUP($D155,Population!$B$5:$AA$175,25,FALSE),0)</f>
        <v>2030</v>
      </c>
      <c r="AC155" s="178">
        <f>IFERROR(VLOOKUP($D155,Population!$B$5:$AA$175,26,FALSE),0)</f>
        <v>2560.1027708058282</v>
      </c>
    </row>
    <row r="156" spans="1:29" x14ac:dyDescent="0.2">
      <c r="A156" s="1" t="s">
        <v>604</v>
      </c>
      <c r="B156" s="1" t="s">
        <v>621</v>
      </c>
      <c r="C156" s="1" t="s">
        <v>622</v>
      </c>
      <c r="D156" s="1">
        <v>2410</v>
      </c>
      <c r="E156" s="1">
        <v>2024</v>
      </c>
      <c r="F156" s="175">
        <f>VLOOKUP($D156,'2024Data to Complete Appendix C'!$C$8:$Q$313,2,FALSE)</f>
        <v>812</v>
      </c>
      <c r="G156" s="175">
        <f>VLOOKUP($D156,'2024Data to Complete Appendix C'!$C$8:$Q$313,3,FALSE)</f>
        <v>334</v>
      </c>
      <c r="H156" s="175">
        <f>VLOOKUP($D156,'2024Data to Complete Appendix C'!$C$8:$Q$313,4,FALSE)</f>
        <v>0</v>
      </c>
      <c r="I156" s="175">
        <f>VLOOKUP($D156,'2024Data to Complete Appendix C'!$C$8:$Q$313,5,FALSE)</f>
        <v>384</v>
      </c>
      <c r="J156" s="176">
        <f>VLOOKUP($D156,'2024Data to Complete Appendix C'!$C$8:$Q$313,6,FALSE)</f>
        <v>2.4311400000000001</v>
      </c>
      <c r="K156" s="176">
        <f>VLOOKUP($D156,'2024Data to Complete Appendix C'!$C$8:$Q$313,7,FALSE)</f>
        <v>1.95</v>
      </c>
      <c r="L156" s="176">
        <f>VLOOKUP($D156,'2024Data to Complete Appendix C'!$C$8:$Q$313,8,FALSE)</f>
        <v>1.0459700000000001</v>
      </c>
      <c r="M156" s="175">
        <f>VLOOKUP($D156,'2024Data to Complete Appendix C'!$C$8:$Q$313,9,FALSE)</f>
        <v>19.144300000000001</v>
      </c>
      <c r="N156" s="176">
        <f>VLOOKUP($D156,'2024Data to Complete Appendix C'!$C$8:$Q$313,10,FALSE)</f>
        <v>5.4211000000000002E-2</v>
      </c>
      <c r="O156" s="177">
        <f>VLOOKUP($D156,'2024Data to Complete Appendix C'!$C$8:$Q$313,11,FALSE)</f>
        <v>0.56699999999999995</v>
      </c>
      <c r="P156" s="177">
        <f>VLOOKUP($D156,'2024Data to Complete Appendix C'!$C$8:$Q$313,12,FALSE)</f>
        <v>0.77268000000000003</v>
      </c>
      <c r="Q156" s="177">
        <f>VLOOKUP($D156,'2024Data to Complete Appendix C'!$C$8:$Q$313,13,FALSE)</f>
        <v>0.62213407799999998</v>
      </c>
      <c r="R156" s="176">
        <f>VLOOKUP($D156,'2024Data to Complete Appendix C'!$C$8:$Q$313,14,FALSE)</f>
        <v>2.2999999999999998</v>
      </c>
      <c r="S156" s="177">
        <f>VLOOKUP($D156,'2024Data to Complete Appendix C'!$C$8:$Q$313,15,FALSE)</f>
        <v>-0.39089800000000002</v>
      </c>
      <c r="T156" s="175">
        <f>IFERROR(VLOOKUP($D156,'2024_Lodging_by_WUP'!$A:$D,4,FALSE),0)</f>
        <v>0</v>
      </c>
      <c r="U156" s="175">
        <f t="shared" si="3"/>
        <v>0</v>
      </c>
      <c r="V156" s="178">
        <f>IFERROR(VLOOKUP($D156,Total_DU!$B$5:$AB$171,24,0),0)</f>
        <v>0</v>
      </c>
      <c r="W156" s="178">
        <f>IFERROR(VLOOKUP($D156,Total_DU!$B$5:$AB$174,25,0),0)</f>
        <v>0</v>
      </c>
      <c r="X156" s="178">
        <f>IFERROR(VLOOKUP($D156,Total_DU!$B$5:$AB$174,26,0),0)</f>
        <v>0</v>
      </c>
      <c r="Y156" s="178">
        <f>IFERROR(VLOOKUP($D156,Total_DU!$B$5:$AB$174,27,0),0)</f>
        <v>0</v>
      </c>
      <c r="Z156" s="178">
        <f>IFERROR(VLOOKUP($D156,Population!$B$5:$AA$175,23,FALSE),0)</f>
        <v>0</v>
      </c>
      <c r="AA156" s="178">
        <f>IFERROR(VLOOKUP($D156,Population!$B$5:$AA$175,24,FALSE),0)</f>
        <v>0</v>
      </c>
      <c r="AB156" s="178">
        <f>IFERROR(VLOOKUP($D156,Population!$B$5:$AA$175,25,FALSE),0)</f>
        <v>0</v>
      </c>
      <c r="AC156" s="178">
        <f>IFERROR(VLOOKUP($D156,Population!$B$5:$AA$175,26,FALSE),0)</f>
        <v>0</v>
      </c>
    </row>
    <row r="157" spans="1:29" x14ac:dyDescent="0.2">
      <c r="A157" s="1" t="s">
        <v>604</v>
      </c>
      <c r="B157" s="1" t="s">
        <v>623</v>
      </c>
      <c r="C157" s="1" t="s">
        <v>624</v>
      </c>
      <c r="D157" s="1">
        <v>2449</v>
      </c>
      <c r="E157" s="1">
        <v>2024</v>
      </c>
      <c r="F157" s="175">
        <f>VLOOKUP($D157,'2024Data to Complete Appendix C'!$C$8:$Q$313,2,FALSE)</f>
        <v>686</v>
      </c>
      <c r="G157" s="175">
        <f>VLOOKUP($D157,'2024Data to Complete Appendix C'!$C$8:$Q$313,3,FALSE)</f>
        <v>383</v>
      </c>
      <c r="H157" s="175">
        <f>VLOOKUP($D157,'2024Data to Complete Appendix C'!$C$8:$Q$313,4,FALSE)</f>
        <v>0</v>
      </c>
      <c r="I157" s="175">
        <f>VLOOKUP($D157,'2024Data to Complete Appendix C'!$C$8:$Q$313,5,FALSE)</f>
        <v>442</v>
      </c>
      <c r="J157" s="176">
        <f>VLOOKUP($D157,'2024Data to Complete Appendix C'!$C$8:$Q$313,6,FALSE)</f>
        <v>1.79112</v>
      </c>
      <c r="K157" s="176">
        <f>VLOOKUP($D157,'2024Data to Complete Appendix C'!$C$8:$Q$313,7,FALSE)</f>
        <v>1.95</v>
      </c>
      <c r="L157" s="176">
        <f>VLOOKUP($D157,'2024Data to Complete Appendix C'!$C$8:$Q$313,8,FALSE)</f>
        <v>1.0980399999999999</v>
      </c>
      <c r="M157" s="175">
        <f>VLOOKUP($D157,'2024Data to Complete Appendix C'!$C$8:$Q$313,9,FALSE)</f>
        <v>34.488700000000001</v>
      </c>
      <c r="N157" s="176">
        <f>VLOOKUP($D157,'2024Data to Complete Appendix C'!$C$8:$Q$313,10,FALSE)</f>
        <v>8.2609799999999997E-2</v>
      </c>
      <c r="O157" s="177">
        <f>VLOOKUP($D157,'2024Data to Complete Appendix C'!$C$8:$Q$313,11,FALSE)</f>
        <v>0.56699999999999995</v>
      </c>
      <c r="P157" s="177">
        <f>VLOOKUP($D157,'2024Data to Complete Appendix C'!$C$8:$Q$313,12,FALSE)</f>
        <v>0.77268000000000003</v>
      </c>
      <c r="Q157" s="177">
        <f>VLOOKUP($D157,'2024Data to Complete Appendix C'!$C$8:$Q$313,13,FALSE)</f>
        <v>0.62213407799999998</v>
      </c>
      <c r="R157" s="176">
        <f>VLOOKUP($D157,'2024Data to Complete Appendix C'!$C$8:$Q$313,14,FALSE)</f>
        <v>2.2999999999999998</v>
      </c>
      <c r="S157" s="177">
        <f>VLOOKUP($D157,'2024Data to Complete Appendix C'!$C$8:$Q$313,15,FALSE)</f>
        <v>0.10958900000000001</v>
      </c>
      <c r="T157" s="175">
        <f>IFERROR(VLOOKUP($D157,'2024_Lodging_by_WUP'!$A:$D,4,FALSE),0)</f>
        <v>0</v>
      </c>
      <c r="U157" s="175">
        <f t="shared" si="3"/>
        <v>0</v>
      </c>
      <c r="V157" s="178">
        <f>IFERROR(VLOOKUP($D157,Total_DU!$B$5:$AB$171,24,0),0)</f>
        <v>0</v>
      </c>
      <c r="W157" s="178">
        <f>IFERROR(VLOOKUP($D157,Total_DU!$B$5:$AB$174,25,0),0)</f>
        <v>0</v>
      </c>
      <c r="X157" s="178">
        <f>IFERROR(VLOOKUP($D157,Total_DU!$B$5:$AB$174,26,0),0)</f>
        <v>0</v>
      </c>
      <c r="Y157" s="178">
        <f>IFERROR(VLOOKUP($D157,Total_DU!$B$5:$AB$174,27,0),0)</f>
        <v>0</v>
      </c>
      <c r="Z157" s="178">
        <f>IFERROR(VLOOKUP($D157,Population!$B$5:$AA$175,23,FALSE),0)</f>
        <v>0</v>
      </c>
      <c r="AA157" s="178">
        <f>IFERROR(VLOOKUP($D157,Population!$B$5:$AA$175,24,FALSE),0)</f>
        <v>0</v>
      </c>
      <c r="AB157" s="178">
        <f>IFERROR(VLOOKUP($D157,Population!$B$5:$AA$175,25,FALSE),0)</f>
        <v>0</v>
      </c>
      <c r="AC157" s="178">
        <f>IFERROR(VLOOKUP($D157,Population!$B$5:$AA$175,26,FALSE),0)</f>
        <v>0</v>
      </c>
    </row>
    <row r="158" spans="1:29" x14ac:dyDescent="0.2">
      <c r="A158" s="1" t="s">
        <v>604</v>
      </c>
      <c r="B158" s="1" t="s">
        <v>625</v>
      </c>
      <c r="C158" s="1" t="s">
        <v>618</v>
      </c>
      <c r="D158" s="1">
        <v>3214</v>
      </c>
      <c r="E158" s="1">
        <v>2024</v>
      </c>
      <c r="F158" s="175">
        <f>VLOOKUP($D158,'2024Data to Complete Appendix C'!$C$8:$Q$313,2,FALSE)</f>
        <v>1013</v>
      </c>
      <c r="G158" s="175">
        <f>VLOOKUP($D158,'2024Data to Complete Appendix C'!$C$8:$Q$313,3,FALSE)</f>
        <v>349</v>
      </c>
      <c r="H158" s="175">
        <f>VLOOKUP($D158,'2024Data to Complete Appendix C'!$C$8:$Q$313,4,FALSE)</f>
        <v>14</v>
      </c>
      <c r="I158" s="175">
        <f>VLOOKUP($D158,'2024Data to Complete Appendix C'!$C$8:$Q$313,5,FALSE)</f>
        <v>362</v>
      </c>
      <c r="J158" s="176">
        <f>VLOOKUP($D158,'2024Data to Complete Appendix C'!$C$8:$Q$313,6,FALSE)</f>
        <v>2.9025799999999999</v>
      </c>
      <c r="K158" s="176">
        <f>VLOOKUP($D158,'2024Data to Complete Appendix C'!$C$8:$Q$313,7,FALSE)</f>
        <v>1.95</v>
      </c>
      <c r="L158" s="176">
        <f>VLOOKUP($D158,'2024Data to Complete Appendix C'!$C$8:$Q$313,8,FALSE)</f>
        <v>1.0656000000000001</v>
      </c>
      <c r="M158" s="175">
        <f>VLOOKUP($D158,'2024Data to Complete Appendix C'!$C$8:$Q$313,9,FALSE)</f>
        <v>34.0794</v>
      </c>
      <c r="N158" s="176">
        <f>VLOOKUP($D158,'2024Data to Complete Appendix C'!$C$8:$Q$313,10,FALSE)</f>
        <v>8.8961600000000002E-2</v>
      </c>
      <c r="O158" s="177">
        <f>VLOOKUP($D158,'2024Data to Complete Appendix C'!$C$8:$Q$313,11,FALSE)</f>
        <v>0.56699999999999995</v>
      </c>
      <c r="P158" s="177">
        <f>VLOOKUP($D158,'2024Data to Complete Appendix C'!$C$8:$Q$313,12,FALSE)</f>
        <v>0.77268000000000003</v>
      </c>
      <c r="Q158" s="177">
        <f>VLOOKUP($D158,'2024Data to Complete Appendix C'!$C$8:$Q$313,13,FALSE)</f>
        <v>0.62213407799999998</v>
      </c>
      <c r="R158" s="176">
        <f>VLOOKUP($D158,'2024Data to Complete Appendix C'!$C$8:$Q$313,14,FALSE)</f>
        <v>2.2999999999999998</v>
      </c>
      <c r="S158" s="177">
        <f>VLOOKUP($D158,'2024Data to Complete Appendix C'!$C$8:$Q$313,15,FALSE)</f>
        <v>-8.1699000000000008E-3</v>
      </c>
      <c r="T158" s="175">
        <f>IFERROR(VLOOKUP($D158,'2024_Lodging_by_WUP'!$A:$D,4,FALSE),0)</f>
        <v>0</v>
      </c>
      <c r="U158" s="175">
        <f t="shared" si="3"/>
        <v>0</v>
      </c>
      <c r="V158" s="178">
        <f>IFERROR(VLOOKUP($D158,Total_DU!$B$5:$AB$171,24,0),0)</f>
        <v>0</v>
      </c>
      <c r="W158" s="178">
        <f>IFERROR(VLOOKUP($D158,Total_DU!$B$5:$AB$174,25,0),0)</f>
        <v>0</v>
      </c>
      <c r="X158" s="178">
        <f>IFERROR(VLOOKUP($D158,Total_DU!$B$5:$AB$174,26,0),0)</f>
        <v>0</v>
      </c>
      <c r="Y158" s="178">
        <f>IFERROR(VLOOKUP($D158,Total_DU!$B$5:$AB$174,27,0),0)</f>
        <v>0</v>
      </c>
      <c r="Z158" s="178">
        <f>IFERROR(VLOOKUP($D158,Population!$B$5:$AA$175,23,FALSE),0)</f>
        <v>0</v>
      </c>
      <c r="AA158" s="178">
        <f>IFERROR(VLOOKUP($D158,Population!$B$5:$AA$175,24,FALSE),0)</f>
        <v>0</v>
      </c>
      <c r="AB158" s="178">
        <f>IFERROR(VLOOKUP($D158,Population!$B$5:$AA$175,25,FALSE),0)</f>
        <v>0</v>
      </c>
      <c r="AC158" s="178">
        <f>IFERROR(VLOOKUP($D158,Population!$B$5:$AA$175,26,FALSE),0)</f>
        <v>0</v>
      </c>
    </row>
    <row r="159" spans="1:29" x14ac:dyDescent="0.2">
      <c r="A159" s="1" t="s">
        <v>604</v>
      </c>
      <c r="B159" s="1" t="s">
        <v>626</v>
      </c>
      <c r="C159" s="1" t="s">
        <v>627</v>
      </c>
      <c r="D159" s="1">
        <v>3415</v>
      </c>
      <c r="E159" s="1">
        <v>2024</v>
      </c>
      <c r="F159" s="175">
        <f>VLOOKUP($D159,'2024Data to Complete Appendix C'!$C$8:$Q$313,2,FALSE)</f>
        <v>1173</v>
      </c>
      <c r="G159" s="175">
        <f>VLOOKUP($D159,'2024Data to Complete Appendix C'!$C$8:$Q$313,3,FALSE)</f>
        <v>581</v>
      </c>
      <c r="H159" s="175">
        <f>VLOOKUP($D159,'2024Data to Complete Appendix C'!$C$8:$Q$313,4,FALSE)</f>
        <v>0</v>
      </c>
      <c r="I159" s="175">
        <f>VLOOKUP($D159,'2024Data to Complete Appendix C'!$C$8:$Q$313,5,FALSE)</f>
        <v>660</v>
      </c>
      <c r="J159" s="176">
        <f>VLOOKUP($D159,'2024Data to Complete Appendix C'!$C$8:$Q$313,6,FALSE)</f>
        <v>2.0189300000000001</v>
      </c>
      <c r="K159" s="176">
        <f>VLOOKUP($D159,'2024Data to Complete Appendix C'!$C$8:$Q$313,7,FALSE)</f>
        <v>1.95</v>
      </c>
      <c r="L159" s="176">
        <f>VLOOKUP($D159,'2024Data to Complete Appendix C'!$C$8:$Q$313,8,FALSE)</f>
        <v>1.05332</v>
      </c>
      <c r="M159" s="175">
        <f>VLOOKUP($D159,'2024Data to Complete Appendix C'!$C$8:$Q$313,9,FALSE)</f>
        <v>32.0749</v>
      </c>
      <c r="N159" s="176">
        <f>VLOOKUP($D159,'2024Data to Complete Appendix C'!$C$8:$Q$313,10,FALSE)</f>
        <v>5.2318099999999999E-2</v>
      </c>
      <c r="O159" s="177">
        <f>VLOOKUP($D159,'2024Data to Complete Appendix C'!$C$8:$Q$313,11,FALSE)</f>
        <v>0.56699999999999995</v>
      </c>
      <c r="P159" s="177">
        <f>VLOOKUP($D159,'2024Data to Complete Appendix C'!$C$8:$Q$313,12,FALSE)</f>
        <v>0.77268000000000003</v>
      </c>
      <c r="Q159" s="177">
        <f>VLOOKUP($D159,'2024Data to Complete Appendix C'!$C$8:$Q$313,13,FALSE)</f>
        <v>0.62213407799999998</v>
      </c>
      <c r="R159" s="176">
        <f>VLOOKUP($D159,'2024Data to Complete Appendix C'!$C$8:$Q$313,14,FALSE)</f>
        <v>2.2999999999999998</v>
      </c>
      <c r="S159" s="177">
        <f>VLOOKUP($D159,'2024Data to Complete Appendix C'!$C$8:$Q$313,15,FALSE)</f>
        <v>-0.50847500000000001</v>
      </c>
      <c r="T159" s="175">
        <f>IFERROR(VLOOKUP($D159,'2024_Lodging_by_WUP'!$A:$D,4,FALSE),0)</f>
        <v>0</v>
      </c>
      <c r="U159" s="175">
        <f t="shared" si="3"/>
        <v>0</v>
      </c>
      <c r="V159" s="178" t="str">
        <f>IFERROR(VLOOKUP($D159,Total_DU!$B$5:$AB$171,24,0),0)</f>
        <v>NA</v>
      </c>
      <c r="W159" s="178" t="str">
        <f>IFERROR(VLOOKUP($D159,Total_DU!$B$5:$AB$174,25,0),0)</f>
        <v>NA</v>
      </c>
      <c r="X159" s="178" t="str">
        <f>IFERROR(VLOOKUP($D159,Total_DU!$B$5:$AB$174,26,0),0)</f>
        <v>NA</v>
      </c>
      <c r="Y159" s="178" t="str">
        <f>IFERROR(VLOOKUP($D159,Total_DU!$B$5:$AB$174,27,0),0)</f>
        <v>NA</v>
      </c>
      <c r="Z159" s="178" t="str">
        <f>IFERROR(VLOOKUP($D159,Population!$B$5:$AA$175,23,FALSE),0)</f>
        <v>NA</v>
      </c>
      <c r="AA159" s="178" t="str">
        <f>IFERROR(VLOOKUP($D159,Population!$B$5:$AA$175,24,FALSE),0)</f>
        <v>NA</v>
      </c>
      <c r="AB159" s="178" t="str">
        <f>IFERROR(VLOOKUP($D159,Population!$B$5:$AA$175,25,FALSE),0)</f>
        <v>NA</v>
      </c>
      <c r="AC159" s="178" t="str">
        <f>IFERROR(VLOOKUP($D159,Population!$B$5:$AA$175,26,FALSE),0)</f>
        <v>NA</v>
      </c>
    </row>
    <row r="160" spans="1:29" x14ac:dyDescent="0.2">
      <c r="A160" s="1" t="s">
        <v>604</v>
      </c>
      <c r="B160" s="1" t="s">
        <v>628</v>
      </c>
      <c r="C160" s="1" t="s">
        <v>629</v>
      </c>
      <c r="D160" s="1">
        <v>4005</v>
      </c>
      <c r="E160" s="1">
        <v>2024</v>
      </c>
      <c r="F160" s="175">
        <f>VLOOKUP($D160,'2024Data to Complete Appendix C'!$C$8:$Q$313,2,FALSE)</f>
        <v>3469</v>
      </c>
      <c r="G160" s="175">
        <f>VLOOKUP($D160,'2024Data to Complete Appendix C'!$C$8:$Q$313,3,FALSE)</f>
        <v>1415</v>
      </c>
      <c r="H160" s="175">
        <f>VLOOKUP($D160,'2024Data to Complete Appendix C'!$C$8:$Q$313,4,FALSE)</f>
        <v>90</v>
      </c>
      <c r="I160" s="175">
        <f>VLOOKUP($D160,'2024Data to Complete Appendix C'!$C$8:$Q$313,5,FALSE)</f>
        <v>1670</v>
      </c>
      <c r="J160" s="176">
        <f>VLOOKUP($D160,'2024Data to Complete Appendix C'!$C$8:$Q$313,6,FALSE)</f>
        <v>2.4515899999999999</v>
      </c>
      <c r="K160" s="176">
        <f>VLOOKUP($D160,'2024Data to Complete Appendix C'!$C$8:$Q$313,7,FALSE)</f>
        <v>1.95</v>
      </c>
      <c r="L160" s="176">
        <f>VLOOKUP($D160,'2024Data to Complete Appendix C'!$C$8:$Q$313,8,FALSE)</f>
        <v>1.17164</v>
      </c>
      <c r="M160" s="175">
        <f>VLOOKUP($D160,'2024Data to Complete Appendix C'!$C$8:$Q$313,9,FALSE)</f>
        <v>305.34500000000003</v>
      </c>
      <c r="N160" s="176">
        <f>VLOOKUP($D160,'2024Data to Complete Appendix C'!$C$8:$Q$313,10,FALSE)</f>
        <v>0.17749100000000001</v>
      </c>
      <c r="O160" s="177">
        <f>VLOOKUP($D160,'2024Data to Complete Appendix C'!$C$8:$Q$313,11,FALSE)</f>
        <v>0.56699999999999995</v>
      </c>
      <c r="P160" s="177">
        <f>VLOOKUP($D160,'2024Data to Complete Appendix C'!$C$8:$Q$313,12,FALSE)</f>
        <v>0.77268000000000003</v>
      </c>
      <c r="Q160" s="177">
        <f>VLOOKUP($D160,'2024Data to Complete Appendix C'!$C$8:$Q$313,13,FALSE)</f>
        <v>0.62213407799999998</v>
      </c>
      <c r="R160" s="176">
        <f>VLOOKUP($D160,'2024Data to Complete Appendix C'!$C$8:$Q$313,14,FALSE)</f>
        <v>2.2999999999999998</v>
      </c>
      <c r="S160" s="177">
        <f>VLOOKUP($D160,'2024Data to Complete Appendix C'!$C$8:$Q$313,15,FALSE)</f>
        <v>-0.44894400000000001</v>
      </c>
      <c r="T160" s="175">
        <f>IFERROR(VLOOKUP($D160,'2024_Lodging_by_WUP'!$A:$D,4,FALSE),0)</f>
        <v>23</v>
      </c>
      <c r="U160" s="175">
        <f t="shared" si="3"/>
        <v>32.910892726199997</v>
      </c>
      <c r="V160" s="178">
        <f>IFERROR(VLOOKUP($D160,Total_DU!$B$5:$AB$171,24,0),0)</f>
        <v>1018</v>
      </c>
      <c r="W160" s="178">
        <f>IFERROR(VLOOKUP($D160,Total_DU!$B$5:$AB$174,25,0),0)</f>
        <v>1057</v>
      </c>
      <c r="X160" s="178">
        <f>IFERROR(VLOOKUP($D160,Total_DU!$B$5:$AB$174,26,0),0)</f>
        <v>1065</v>
      </c>
      <c r="Y160" s="178">
        <f>IFERROR(VLOOKUP($D160,Total_DU!$B$5:$AB$174,27,0),0)</f>
        <v>1076</v>
      </c>
      <c r="Z160" s="178">
        <f>IFERROR(VLOOKUP($D160,Population!$B$5:$AA$175,23,FALSE),0)</f>
        <v>2605.2006502248651</v>
      </c>
      <c r="AA160" s="178">
        <f>IFERROR(VLOOKUP($D160,Population!$B$5:$AA$175,24,FALSE),0)</f>
        <v>2705</v>
      </c>
      <c r="AB160" s="178">
        <f>IFERROR(VLOOKUP($D160,Population!$B$5:$AA$175,25,FALSE),0)</f>
        <v>2725</v>
      </c>
      <c r="AC160" s="178">
        <f>IFERROR(VLOOKUP($D160,Population!$B$5:$AA$175,26,FALSE),0)</f>
        <v>2549.9374704153315</v>
      </c>
    </row>
    <row r="161" spans="1:29" x14ac:dyDescent="0.2">
      <c r="A161" s="1" t="s">
        <v>604</v>
      </c>
      <c r="B161" s="1" t="s">
        <v>630</v>
      </c>
      <c r="C161" s="1" t="s">
        <v>631</v>
      </c>
      <c r="D161" s="1">
        <v>4441</v>
      </c>
      <c r="E161" s="1">
        <v>2024</v>
      </c>
      <c r="F161" s="175">
        <f>VLOOKUP($D161,'2024Data to Complete Appendix C'!$C$8:$Q$313,2,FALSE)</f>
        <v>1272</v>
      </c>
      <c r="G161" s="175">
        <f>VLOOKUP($D161,'2024Data to Complete Appendix C'!$C$8:$Q$313,3,FALSE)</f>
        <v>343</v>
      </c>
      <c r="H161" s="175">
        <f>VLOOKUP($D161,'2024Data to Complete Appendix C'!$C$8:$Q$313,4,FALSE)</f>
        <v>0</v>
      </c>
      <c r="I161" s="175">
        <f>VLOOKUP($D161,'2024Data to Complete Appendix C'!$C$8:$Q$313,5,FALSE)</f>
        <v>367</v>
      </c>
      <c r="J161" s="176">
        <f>VLOOKUP($D161,'2024Data to Complete Appendix C'!$C$8:$Q$313,6,FALSE)</f>
        <v>3.70845</v>
      </c>
      <c r="K161" s="176">
        <f>VLOOKUP($D161,'2024Data to Complete Appendix C'!$C$8:$Q$313,7,FALSE)</f>
        <v>1.95</v>
      </c>
      <c r="L161" s="176">
        <f>VLOOKUP($D161,'2024Data to Complete Appendix C'!$C$8:$Q$313,8,FALSE)</f>
        <v>1.06477</v>
      </c>
      <c r="M161" s="175">
        <f>VLOOKUP($D161,'2024Data to Complete Appendix C'!$C$8:$Q$313,9,FALSE)</f>
        <v>42.250300000000003</v>
      </c>
      <c r="N161" s="176">
        <f>VLOOKUP($D161,'2024Data to Complete Appendix C'!$C$8:$Q$313,10,FALSE)</f>
        <v>0.10967</v>
      </c>
      <c r="O161" s="177">
        <f>VLOOKUP($D161,'2024Data to Complete Appendix C'!$C$8:$Q$313,11,FALSE)</f>
        <v>0.56699999999999995</v>
      </c>
      <c r="P161" s="177">
        <f>VLOOKUP($D161,'2024Data to Complete Appendix C'!$C$8:$Q$313,12,FALSE)</f>
        <v>0.77268000000000003</v>
      </c>
      <c r="Q161" s="177">
        <f>VLOOKUP($D161,'2024Data to Complete Appendix C'!$C$8:$Q$313,13,FALSE)</f>
        <v>0.62213407799999998</v>
      </c>
      <c r="R161" s="176">
        <f>VLOOKUP($D161,'2024Data to Complete Appendix C'!$C$8:$Q$313,14,FALSE)</f>
        <v>2.2999999999999998</v>
      </c>
      <c r="S161" s="177">
        <f>VLOOKUP($D161,'2024Data to Complete Appendix C'!$C$8:$Q$313,15,FALSE)</f>
        <v>-1.28041</v>
      </c>
      <c r="T161" s="175">
        <f>IFERROR(VLOOKUP($D161,'2024_Lodging_by_WUP'!$A:$D,4,FALSE),0)</f>
        <v>0</v>
      </c>
      <c r="U161" s="175">
        <f t="shared" si="3"/>
        <v>0</v>
      </c>
      <c r="V161" s="178">
        <f>IFERROR(VLOOKUP($D161,Total_DU!$B$5:$AB$171,24,0),0)</f>
        <v>0</v>
      </c>
      <c r="W161" s="178">
        <f>IFERROR(VLOOKUP($D161,Total_DU!$B$5:$AB$174,25,0),0)</f>
        <v>0</v>
      </c>
      <c r="X161" s="178">
        <f>IFERROR(VLOOKUP($D161,Total_DU!$B$5:$AB$174,26,0),0)</f>
        <v>0</v>
      </c>
      <c r="Y161" s="178">
        <f>IFERROR(VLOOKUP($D161,Total_DU!$B$5:$AB$174,27,0),0)</f>
        <v>0</v>
      </c>
      <c r="Z161" s="178">
        <f>IFERROR(VLOOKUP($D161,Population!$B$5:$AA$175,23,FALSE),0)</f>
        <v>0</v>
      </c>
      <c r="AA161" s="178">
        <f>IFERROR(VLOOKUP($D161,Population!$B$5:$AA$175,24,FALSE),0)</f>
        <v>0</v>
      </c>
      <c r="AB161" s="178">
        <f>IFERROR(VLOOKUP($D161,Population!$B$5:$AA$175,25,FALSE),0)</f>
        <v>0</v>
      </c>
      <c r="AC161" s="178">
        <f>IFERROR(VLOOKUP($D161,Population!$B$5:$AA$175,26,FALSE),0)</f>
        <v>0</v>
      </c>
    </row>
    <row r="162" spans="1:29" x14ac:dyDescent="0.2">
      <c r="A162" s="1" t="s">
        <v>604</v>
      </c>
      <c r="B162" s="1" t="s">
        <v>632</v>
      </c>
      <c r="C162" s="1" t="s">
        <v>633</v>
      </c>
      <c r="D162" s="1">
        <v>4607</v>
      </c>
      <c r="E162" s="1">
        <v>2024</v>
      </c>
      <c r="F162" s="175">
        <f>VLOOKUP($D162,'2024Data to Complete Appendix C'!$C$8:$Q$313,2,FALSE)</f>
        <v>91379</v>
      </c>
      <c r="G162" s="175">
        <f>VLOOKUP($D162,'2024Data to Complete Appendix C'!$C$8:$Q$313,3,FALSE)</f>
        <v>37109</v>
      </c>
      <c r="H162" s="175">
        <f>VLOOKUP($D162,'2024Data to Complete Appendix C'!$C$8:$Q$313,4,FALSE)</f>
        <v>930</v>
      </c>
      <c r="I162" s="175">
        <f>VLOOKUP($D162,'2024Data to Complete Appendix C'!$C$8:$Q$313,5,FALSE)</f>
        <v>41908</v>
      </c>
      <c r="J162" s="176">
        <f>VLOOKUP($D162,'2024Data to Complete Appendix C'!$C$8:$Q$313,6,FALSE)</f>
        <v>2.46245</v>
      </c>
      <c r="K162" s="176">
        <f>VLOOKUP($D162,'2024Data to Complete Appendix C'!$C$8:$Q$313,7,FALSE)</f>
        <v>1.95</v>
      </c>
      <c r="L162" s="176">
        <f>VLOOKUP($D162,'2024Data to Complete Appendix C'!$C$8:$Q$313,8,FALSE)</f>
        <v>1.0610299999999999</v>
      </c>
      <c r="M162" s="175">
        <f>VLOOKUP($D162,'2024Data to Complete Appendix C'!$C$8:$Q$313,9,FALSE)</f>
        <v>2860.03</v>
      </c>
      <c r="N162" s="176">
        <f>VLOOKUP($D162,'2024Data to Complete Appendix C'!$C$8:$Q$313,10,FALSE)</f>
        <v>7.15562E-2</v>
      </c>
      <c r="O162" s="177">
        <f>VLOOKUP($D162,'2024Data to Complete Appendix C'!$C$8:$Q$313,11,FALSE)</f>
        <v>0.56699999999999995</v>
      </c>
      <c r="P162" s="177">
        <f>VLOOKUP($D162,'2024Data to Complete Appendix C'!$C$8:$Q$313,12,FALSE)</f>
        <v>0.77268000000000003</v>
      </c>
      <c r="Q162" s="177">
        <f>VLOOKUP($D162,'2024Data to Complete Appendix C'!$C$8:$Q$313,13,FALSE)</f>
        <v>0.62213407799999998</v>
      </c>
      <c r="R162" s="176">
        <f>VLOOKUP($D162,'2024Data to Complete Appendix C'!$C$8:$Q$313,14,FALSE)</f>
        <v>2.2999999999999998</v>
      </c>
      <c r="S162" s="177">
        <f>VLOOKUP($D162,'2024Data to Complete Appendix C'!$C$8:$Q$313,15,FALSE)</f>
        <v>2.24017E-2</v>
      </c>
      <c r="T162" s="175">
        <f>IFERROR(VLOOKUP($D162,'2024_Lodging_by_WUP'!$A:$D,4,FALSE),0)</f>
        <v>1623</v>
      </c>
      <c r="U162" s="175">
        <f t="shared" si="3"/>
        <v>2322.3642997661996</v>
      </c>
      <c r="V162" s="178">
        <f>IFERROR(VLOOKUP($D162,Total_DU!$B$5:$AB$171,24,0),0)</f>
        <v>35605</v>
      </c>
      <c r="W162" s="178">
        <f>IFERROR(VLOOKUP($D162,Total_DU!$B$5:$AB$174,25,0),0)</f>
        <v>33787</v>
      </c>
      <c r="X162" s="178">
        <f>IFERROR(VLOOKUP($D162,Total_DU!$B$5:$AB$174,26,0),0)</f>
        <v>35228</v>
      </c>
      <c r="Y162" s="178">
        <f>IFERROR(VLOOKUP($D162,Total_DU!$B$5:$AB$174,27,0),0)</f>
        <v>34701</v>
      </c>
      <c r="Z162" s="178">
        <f>IFERROR(VLOOKUP($D162,Population!$B$5:$AA$175,23,FALSE),0)</f>
        <v>86816.524424603675</v>
      </c>
      <c r="AA162" s="178">
        <f>IFERROR(VLOOKUP($D162,Population!$B$5:$AA$175,24,FALSE),0)</f>
        <v>82004</v>
      </c>
      <c r="AB162" s="178">
        <f>IFERROR(VLOOKUP($D162,Population!$B$5:$AA$175,25,FALSE),0)</f>
        <v>86106</v>
      </c>
      <c r="AC162" s="178">
        <f>IFERROR(VLOOKUP($D162,Population!$B$5:$AA$175,26,FALSE),0)</f>
        <v>86465.275438432189</v>
      </c>
    </row>
    <row r="163" spans="1:29" x14ac:dyDescent="0.2">
      <c r="A163" s="1" t="s">
        <v>604</v>
      </c>
      <c r="B163" s="1" t="s">
        <v>634</v>
      </c>
      <c r="C163" s="1" t="s">
        <v>635</v>
      </c>
      <c r="D163" s="1">
        <v>4658</v>
      </c>
      <c r="E163" s="1">
        <v>2024</v>
      </c>
      <c r="F163" s="175">
        <f>VLOOKUP($D163,'2024Data to Complete Appendix C'!$C$8:$Q$313,2,FALSE)</f>
        <v>31979</v>
      </c>
      <c r="G163" s="175">
        <f>VLOOKUP($D163,'2024Data to Complete Appendix C'!$C$8:$Q$313,3,FALSE)</f>
        <v>13127</v>
      </c>
      <c r="H163" s="175">
        <f>VLOOKUP($D163,'2024Data to Complete Appendix C'!$C$8:$Q$313,4,FALSE)</f>
        <v>268</v>
      </c>
      <c r="I163" s="175">
        <f>VLOOKUP($D163,'2024Data to Complete Appendix C'!$C$8:$Q$313,5,FALSE)</f>
        <v>15013</v>
      </c>
      <c r="J163" s="176">
        <f>VLOOKUP($D163,'2024Data to Complete Appendix C'!$C$8:$Q$313,6,FALSE)</f>
        <v>2.4361199999999998</v>
      </c>
      <c r="K163" s="176">
        <f>VLOOKUP($D163,'2024Data to Complete Appendix C'!$C$8:$Q$313,7,FALSE)</f>
        <v>1.95</v>
      </c>
      <c r="L163" s="176">
        <f>VLOOKUP($D163,'2024Data to Complete Appendix C'!$C$8:$Q$313,8,FALSE)</f>
        <v>1.17014</v>
      </c>
      <c r="M163" s="175">
        <f>VLOOKUP($D163,'2024Data to Complete Appendix C'!$C$8:$Q$313,9,FALSE)</f>
        <v>2790.29</v>
      </c>
      <c r="N163" s="176">
        <f>VLOOKUP($D163,'2024Data to Complete Appendix C'!$C$8:$Q$313,10,FALSE)</f>
        <v>0.17529900000000001</v>
      </c>
      <c r="O163" s="177">
        <f>VLOOKUP($D163,'2024Data to Complete Appendix C'!$C$8:$Q$313,11,FALSE)</f>
        <v>0.56699999999999995</v>
      </c>
      <c r="P163" s="177">
        <f>VLOOKUP($D163,'2024Data to Complete Appendix C'!$C$8:$Q$313,12,FALSE)</f>
        <v>0.77268000000000003</v>
      </c>
      <c r="Q163" s="177">
        <f>VLOOKUP($D163,'2024Data to Complete Appendix C'!$C$8:$Q$313,13,FALSE)</f>
        <v>0.62213407799999998</v>
      </c>
      <c r="R163" s="176">
        <f>VLOOKUP($D163,'2024Data to Complete Appendix C'!$C$8:$Q$313,14,FALSE)</f>
        <v>2.2999999999999998</v>
      </c>
      <c r="S163" s="177">
        <f>VLOOKUP($D163,'2024Data to Complete Appendix C'!$C$8:$Q$313,15,FALSE)</f>
        <v>0.13119900000000001</v>
      </c>
      <c r="T163" s="175">
        <f>IFERROR(VLOOKUP($D163,'2024_Lodging_by_WUP'!$A:$D,4,FALSE),0)</f>
        <v>448</v>
      </c>
      <c r="U163" s="175">
        <f t="shared" si="3"/>
        <v>641.04695397119986</v>
      </c>
      <c r="V163" s="178">
        <f>IFERROR(VLOOKUP($D163,Total_DU!$B$5:$AB$171,24,0),0)</f>
        <v>9371</v>
      </c>
      <c r="W163" s="178">
        <f>IFERROR(VLOOKUP($D163,Total_DU!$B$5:$AB$174,25,0),0)</f>
        <v>10617</v>
      </c>
      <c r="X163" s="178">
        <f>IFERROR(VLOOKUP($D163,Total_DU!$B$5:$AB$174,26,0),0)</f>
        <v>10687</v>
      </c>
      <c r="Y163" s="178">
        <f>IFERROR(VLOOKUP($D163,Total_DU!$B$5:$AB$174,27,0),0)</f>
        <v>10677</v>
      </c>
      <c r="Z163" s="178">
        <f>IFERROR(VLOOKUP($D163,Population!$B$5:$AA$175,23,FALSE),0)</f>
        <v>22590.628065004876</v>
      </c>
      <c r="AA163" s="178">
        <f>IFERROR(VLOOKUP($D163,Population!$B$5:$AA$175,24,FALSE),0)</f>
        <v>25316</v>
      </c>
      <c r="AB163" s="178">
        <f>IFERROR(VLOOKUP($D163,Population!$B$5:$AA$175,25,FALSE),0)</f>
        <v>25584</v>
      </c>
      <c r="AC163" s="178">
        <f>IFERROR(VLOOKUP($D163,Population!$B$5:$AA$175,26,FALSE),0)</f>
        <v>25466.898525138542</v>
      </c>
    </row>
    <row r="164" spans="1:29" x14ac:dyDescent="0.2">
      <c r="A164" s="1" t="s">
        <v>604</v>
      </c>
      <c r="B164" s="1" t="s">
        <v>636</v>
      </c>
      <c r="C164" s="1" t="s">
        <v>637</v>
      </c>
      <c r="D164" s="1">
        <v>4912</v>
      </c>
      <c r="E164" s="1">
        <v>2024</v>
      </c>
      <c r="F164" s="175">
        <f>VLOOKUP($D164,'2024Data to Complete Appendix C'!$C$8:$Q$313,2,FALSE)</f>
        <v>188691</v>
      </c>
      <c r="G164" s="175">
        <f>VLOOKUP($D164,'2024Data to Complete Appendix C'!$C$8:$Q$313,3,FALSE)</f>
        <v>76431</v>
      </c>
      <c r="H164" s="175">
        <f>VLOOKUP($D164,'2024Data to Complete Appendix C'!$C$8:$Q$313,4,FALSE)</f>
        <v>7395</v>
      </c>
      <c r="I164" s="175">
        <f>VLOOKUP($D164,'2024Data to Complete Appendix C'!$C$8:$Q$313,5,FALSE)</f>
        <v>84366</v>
      </c>
      <c r="J164" s="176">
        <f>VLOOKUP($D164,'2024Data to Complete Appendix C'!$C$8:$Q$313,6,FALSE)</f>
        <v>2.4687800000000002</v>
      </c>
      <c r="K164" s="176">
        <f>VLOOKUP($D164,'2024Data to Complete Appendix C'!$C$8:$Q$313,7,FALSE)</f>
        <v>1.95</v>
      </c>
      <c r="L164" s="176">
        <f>VLOOKUP($D164,'2024Data to Complete Appendix C'!$C$8:$Q$313,8,FALSE)</f>
        <v>1.04905</v>
      </c>
      <c r="M164" s="175">
        <f>VLOOKUP($D164,'2024Data to Complete Appendix C'!$C$8:$Q$313,9,FALSE)</f>
        <v>4746.5200000000004</v>
      </c>
      <c r="N164" s="176">
        <f>VLOOKUP($D164,'2024Data to Complete Appendix C'!$C$8:$Q$313,10,FALSE)</f>
        <v>5.8470899999999999E-2</v>
      </c>
      <c r="O164" s="177">
        <f>VLOOKUP($D164,'2024Data to Complete Appendix C'!$C$8:$Q$313,11,FALSE)</f>
        <v>0.56699999999999995</v>
      </c>
      <c r="P164" s="177">
        <f>VLOOKUP($D164,'2024Data to Complete Appendix C'!$C$8:$Q$313,12,FALSE)</f>
        <v>0.77268000000000003</v>
      </c>
      <c r="Q164" s="177">
        <f>VLOOKUP($D164,'2024Data to Complete Appendix C'!$C$8:$Q$313,13,FALSE)</f>
        <v>0.62213407799999998</v>
      </c>
      <c r="R164" s="176">
        <f>VLOOKUP($D164,'2024Data to Complete Appendix C'!$C$8:$Q$313,14,FALSE)</f>
        <v>2.2999999999999998</v>
      </c>
      <c r="S164" s="177">
        <f>VLOOKUP($D164,'2024Data to Complete Appendix C'!$C$8:$Q$313,15,FALSE)</f>
        <v>0.22267400000000001</v>
      </c>
      <c r="T164" s="175">
        <f>IFERROR(VLOOKUP($D164,'2024_Lodging_by_WUP'!$A:$D,4,FALSE),0)</f>
        <v>3528</v>
      </c>
      <c r="U164" s="175">
        <f t="shared" si="3"/>
        <v>5048.2447625231998</v>
      </c>
      <c r="V164" s="178">
        <f>IFERROR(VLOOKUP($D164,Total_DU!$B$5:$AB$171,24,0),0)</f>
        <v>70999</v>
      </c>
      <c r="W164" s="178">
        <f>IFERROR(VLOOKUP($D164,Total_DU!$B$5:$AB$174,25,0),0)</f>
        <v>71790</v>
      </c>
      <c r="X164" s="178">
        <f>IFERROR(VLOOKUP($D164,Total_DU!$B$5:$AB$174,26,0),0)</f>
        <v>74326</v>
      </c>
      <c r="Y164" s="178">
        <f>IFERROR(VLOOKUP($D164,Total_DU!$B$5:$AB$174,27,0),0)</f>
        <v>75106</v>
      </c>
      <c r="Z164" s="178">
        <f>IFERROR(VLOOKUP($D164,Population!$B$5:$AA$175,23,FALSE),0)</f>
        <v>184612.36583338919</v>
      </c>
      <c r="AA164" s="178">
        <f>IFERROR(VLOOKUP($D164,Population!$B$5:$AA$175,24,FALSE),0)</f>
        <v>185394</v>
      </c>
      <c r="AB164" s="178">
        <f>IFERROR(VLOOKUP($D164,Population!$B$5:$AA$175,25,FALSE),0)</f>
        <v>193297</v>
      </c>
      <c r="AC164" s="178">
        <f>IFERROR(VLOOKUP($D164,Population!$B$5:$AA$175,26,FALSE),0)</f>
        <v>197050.82891978216</v>
      </c>
    </row>
    <row r="165" spans="1:29" x14ac:dyDescent="0.2">
      <c r="A165" s="1" t="s">
        <v>604</v>
      </c>
      <c r="B165" s="1" t="s">
        <v>638</v>
      </c>
      <c r="C165" s="1" t="s">
        <v>639</v>
      </c>
      <c r="D165" s="1">
        <v>21107</v>
      </c>
      <c r="E165" s="1">
        <v>2024</v>
      </c>
      <c r="F165" s="175">
        <f>VLOOKUP($D165,'2024Data to Complete Appendix C'!$C$8:$Q$313,2,FALSE)</f>
        <v>2495</v>
      </c>
      <c r="G165" s="175">
        <f>VLOOKUP($D165,'2024Data to Complete Appendix C'!$C$8:$Q$313,3,FALSE)</f>
        <v>1073</v>
      </c>
      <c r="H165" s="175">
        <f>VLOOKUP($D165,'2024Data to Complete Appendix C'!$C$8:$Q$313,4,FALSE)</f>
        <v>0</v>
      </c>
      <c r="I165" s="175">
        <f>VLOOKUP($D165,'2024Data to Complete Appendix C'!$C$8:$Q$313,5,FALSE)</f>
        <v>1378</v>
      </c>
      <c r="J165" s="176">
        <f>VLOOKUP($D165,'2024Data to Complete Appendix C'!$C$8:$Q$313,6,FALSE)</f>
        <v>2.3252600000000001</v>
      </c>
      <c r="K165" s="176">
        <f>VLOOKUP($D165,'2024Data to Complete Appendix C'!$C$8:$Q$313,7,FALSE)</f>
        <v>1.95</v>
      </c>
      <c r="L165" s="176">
        <f>VLOOKUP($D165,'2024Data to Complete Appendix C'!$C$8:$Q$313,8,FALSE)</f>
        <v>1.0980099999999999</v>
      </c>
      <c r="M165" s="175">
        <f>VLOOKUP($D165,'2024Data to Complete Appendix C'!$C$8:$Q$313,9,FALSE)</f>
        <v>125.39700000000001</v>
      </c>
      <c r="N165" s="176">
        <f>VLOOKUP($D165,'2024Data to Complete Appendix C'!$C$8:$Q$313,10,FALSE)</f>
        <v>0.10463699999999999</v>
      </c>
      <c r="O165" s="177">
        <f>VLOOKUP($D165,'2024Data to Complete Appendix C'!$C$8:$Q$313,11,FALSE)</f>
        <v>0.56699999999999995</v>
      </c>
      <c r="P165" s="177">
        <f>VLOOKUP($D165,'2024Data to Complete Appendix C'!$C$8:$Q$313,12,FALSE)</f>
        <v>0.77268000000000003</v>
      </c>
      <c r="Q165" s="177">
        <f>VLOOKUP($D165,'2024Data to Complete Appendix C'!$C$8:$Q$313,13,FALSE)</f>
        <v>0.62213407799999998</v>
      </c>
      <c r="R165" s="176">
        <f>VLOOKUP($D165,'2024Data to Complete Appendix C'!$C$8:$Q$313,14,FALSE)</f>
        <v>2.2999999999999998</v>
      </c>
      <c r="S165" s="177">
        <f>VLOOKUP($D165,'2024Data to Complete Appendix C'!$C$8:$Q$313,15,FALSE)</f>
        <v>-0.44907000000000002</v>
      </c>
      <c r="T165" s="175">
        <f>IFERROR(VLOOKUP($D165,'2024_Lodging_by_WUP'!$A:$D,4,FALSE),0)</f>
        <v>3</v>
      </c>
      <c r="U165" s="175">
        <f t="shared" si="3"/>
        <v>4.2927251381999998</v>
      </c>
      <c r="V165" s="178">
        <f>IFERROR(VLOOKUP($D165,Total_DU!$B$5:$AB$171,24,0),0)</f>
        <v>1229</v>
      </c>
      <c r="W165" s="178">
        <f>IFERROR(VLOOKUP($D165,Total_DU!$B$5:$AB$174,25,0),0)</f>
        <v>1229</v>
      </c>
      <c r="X165" s="178">
        <f>IFERROR(VLOOKUP($D165,Total_DU!$B$5:$AB$174,26,0),0)</f>
        <v>1120</v>
      </c>
      <c r="Y165" s="178">
        <f>IFERROR(VLOOKUP($D165,Total_DU!$B$5:$AB$174,27,0),0)</f>
        <v>1159</v>
      </c>
      <c r="Z165" s="178">
        <f>IFERROR(VLOOKUP($D165,Population!$B$5:$AA$175,23,FALSE),0)</f>
        <v>2713.7530674493141</v>
      </c>
      <c r="AA165" s="178">
        <f>IFERROR(VLOOKUP($D165,Population!$B$5:$AA$175,24,FALSE),0)</f>
        <v>2712</v>
      </c>
      <c r="AB165" s="178">
        <f>IFERROR(VLOOKUP($D165,Population!$B$5:$AA$175,25,FALSE),0)</f>
        <v>2475</v>
      </c>
      <c r="AC165" s="178">
        <f>IFERROR(VLOOKUP($D165,Population!$B$5:$AA$175,26,FALSE),0)</f>
        <v>2574.4503464907366</v>
      </c>
    </row>
    <row r="166" spans="1:29" x14ac:dyDescent="0.2">
      <c r="A166" s="1" t="s">
        <v>604</v>
      </c>
      <c r="B166" s="1" t="s">
        <v>640</v>
      </c>
      <c r="C166" s="1" t="s">
        <v>641</v>
      </c>
      <c r="D166" s="1">
        <v>5750</v>
      </c>
      <c r="E166" s="1">
        <v>2024</v>
      </c>
      <c r="F166" s="175">
        <f>VLOOKUP($D166,'2024Data to Complete Appendix C'!$C$8:$Q$313,2,FALSE)</f>
        <v>17074</v>
      </c>
      <c r="G166" s="175">
        <f>VLOOKUP($D166,'2024Data to Complete Appendix C'!$C$8:$Q$313,3,FALSE)</f>
        <v>5776</v>
      </c>
      <c r="H166" s="175">
        <f>VLOOKUP($D166,'2024Data to Complete Appendix C'!$C$8:$Q$313,4,FALSE)</f>
        <v>42</v>
      </c>
      <c r="I166" s="175">
        <f>VLOOKUP($D166,'2024Data to Complete Appendix C'!$C$8:$Q$313,5,FALSE)</f>
        <v>7099</v>
      </c>
      <c r="J166" s="176">
        <f>VLOOKUP($D166,'2024Data to Complete Appendix C'!$C$8:$Q$313,6,FALSE)</f>
        <v>2.9560200000000001</v>
      </c>
      <c r="K166" s="176">
        <f>VLOOKUP($D166,'2024Data to Complete Appendix C'!$C$8:$Q$313,7,FALSE)</f>
        <v>1.95</v>
      </c>
      <c r="L166" s="176">
        <f>VLOOKUP($D166,'2024Data to Complete Appendix C'!$C$8:$Q$313,8,FALSE)</f>
        <v>1.11744</v>
      </c>
      <c r="M166" s="175">
        <f>VLOOKUP($D166,'2024Data to Complete Appendix C'!$C$8:$Q$313,9,FALSE)</f>
        <v>1028.32</v>
      </c>
      <c r="N166" s="176">
        <f>VLOOKUP($D166,'2024Data to Complete Appendix C'!$C$8:$Q$313,10,FALSE)</f>
        <v>0.15112800000000001</v>
      </c>
      <c r="O166" s="177">
        <f>VLOOKUP($D166,'2024Data to Complete Appendix C'!$C$8:$Q$313,11,FALSE)</f>
        <v>0.56699999999999995</v>
      </c>
      <c r="P166" s="177">
        <f>VLOOKUP($D166,'2024Data to Complete Appendix C'!$C$8:$Q$313,12,FALSE)</f>
        <v>0.77268000000000003</v>
      </c>
      <c r="Q166" s="177">
        <f>VLOOKUP($D166,'2024Data to Complete Appendix C'!$C$8:$Q$313,13,FALSE)</f>
        <v>0.62213407799999998</v>
      </c>
      <c r="R166" s="176">
        <f>VLOOKUP($D166,'2024Data to Complete Appendix C'!$C$8:$Q$313,14,FALSE)</f>
        <v>2.2999999999999998</v>
      </c>
      <c r="S166" s="177">
        <f>VLOOKUP($D166,'2024Data to Complete Appendix C'!$C$8:$Q$313,15,FALSE)</f>
        <v>0.324299</v>
      </c>
      <c r="T166" s="175">
        <f>IFERROR(VLOOKUP($D166,'2024_Lodging_by_WUP'!$A:$D,4,FALSE),0)</f>
        <v>42</v>
      </c>
      <c r="U166" s="175">
        <f t="shared" si="3"/>
        <v>60.098151934799994</v>
      </c>
      <c r="V166" s="178">
        <f>IFERROR(VLOOKUP($D166,Total_DU!$B$5:$AB$171,24,0),0)</f>
        <v>4204</v>
      </c>
      <c r="W166" s="178">
        <f>IFERROR(VLOOKUP($D166,Total_DU!$B$5:$AB$174,25,0),0)</f>
        <v>4940</v>
      </c>
      <c r="X166" s="178">
        <f>IFERROR(VLOOKUP($D166,Total_DU!$B$5:$AB$174,26,0),0)</f>
        <v>5306</v>
      </c>
      <c r="Y166" s="178">
        <f>IFERROR(VLOOKUP($D166,Total_DU!$B$5:$AB$174,27,0),0)</f>
        <v>5683</v>
      </c>
      <c r="Z166" s="178">
        <f>IFERROR(VLOOKUP($D166,Population!$B$5:$AA$175,23,FALSE),0)</f>
        <v>11393</v>
      </c>
      <c r="AA166" s="178">
        <f>IFERROR(VLOOKUP($D166,Population!$B$5:$AA$175,24,FALSE),0)</f>
        <v>13239</v>
      </c>
      <c r="AB166" s="178">
        <f>IFERROR(VLOOKUP($D166,Population!$B$5:$AA$175,25,FALSE),0)</f>
        <v>14242</v>
      </c>
      <c r="AC166" s="178">
        <f>IFERROR(VLOOKUP($D166,Population!$B$5:$AA$175,26,FALSE),0)</f>
        <v>16089.748928045172</v>
      </c>
    </row>
    <row r="167" spans="1:29" x14ac:dyDescent="0.2">
      <c r="A167" s="1" t="s">
        <v>604</v>
      </c>
      <c r="B167" s="1" t="str">
        <f>_xlfn.CONCAT(A167,"_",C167,"_WUP#_",D167)</f>
        <v>POLK_RAINBOW RESORT_WUP#_5868</v>
      </c>
      <c r="C167" s="88" t="s">
        <v>642</v>
      </c>
      <c r="D167" s="1">
        <v>5868</v>
      </c>
      <c r="E167" s="1">
        <v>2024</v>
      </c>
      <c r="F167" s="175">
        <f>VLOOKUP($D167,'2024Data to Complete Appendix C'!$C$8:$Q$313,2,FALSE)</f>
        <v>277</v>
      </c>
      <c r="G167" s="175">
        <f>VLOOKUP($D167,'2024Data to Complete Appendix C'!$C$8:$Q$313,3,FALSE)</f>
        <v>159</v>
      </c>
      <c r="H167" s="175">
        <f>VLOOKUP($D167,'2024Data to Complete Appendix C'!$C$8:$Q$313,4,FALSE)</f>
        <v>0</v>
      </c>
      <c r="I167" s="175">
        <f>VLOOKUP($D167,'2024Data to Complete Appendix C'!$C$8:$Q$313,5,FALSE)</f>
        <v>301</v>
      </c>
      <c r="J167" s="176">
        <f>VLOOKUP($D167,'2024Data to Complete Appendix C'!$C$8:$Q$313,6,FALSE)</f>
        <v>1.74214</v>
      </c>
      <c r="K167" s="176">
        <f>VLOOKUP($D167,'2024Data to Complete Appendix C'!$C$8:$Q$313,7,FALSE)</f>
        <v>1.95</v>
      </c>
      <c r="L167" s="176">
        <f>VLOOKUP($D167,'2024Data to Complete Appendix C'!$C$8:$Q$313,8,FALSE)</f>
        <v>1.19787</v>
      </c>
      <c r="M167" s="175">
        <f>VLOOKUP($D167,'2024Data to Complete Appendix C'!$C$8:$Q$313,9,FALSE)</f>
        <v>28.107600000000001</v>
      </c>
      <c r="N167" s="176">
        <f>VLOOKUP($D167,'2024Data to Complete Appendix C'!$C$8:$Q$313,10,FALSE)</f>
        <v>0.15022199999999999</v>
      </c>
      <c r="O167" s="177">
        <f>VLOOKUP($D167,'2024Data to Complete Appendix C'!$C$8:$Q$313,11,FALSE)</f>
        <v>0.56699999999999995</v>
      </c>
      <c r="P167" s="177">
        <f>VLOOKUP($D167,'2024Data to Complete Appendix C'!$C$8:$Q$313,12,FALSE)</f>
        <v>0.77268000000000003</v>
      </c>
      <c r="Q167" s="177">
        <f>VLOOKUP($D167,'2024Data to Complete Appendix C'!$C$8:$Q$313,13,FALSE)</f>
        <v>0.62213407799999998</v>
      </c>
      <c r="R167" s="176">
        <f>VLOOKUP($D167,'2024Data to Complete Appendix C'!$C$8:$Q$313,14,FALSE)</f>
        <v>2.2999999999999998</v>
      </c>
      <c r="S167" s="177">
        <f>VLOOKUP($D167,'2024Data to Complete Appendix C'!$C$8:$Q$313,15,FALSE)</f>
        <v>-0.25873200000000002</v>
      </c>
      <c r="T167" s="175">
        <f>IFERROR(VLOOKUP($D167,'2024_Lodging_by_WUP'!$A:$D,4,FALSE),0)</f>
        <v>0</v>
      </c>
      <c r="U167" s="175">
        <f t="shared" ref="U167" si="4">IF(T167&gt;0,T167*Q167*R167,0)</f>
        <v>0</v>
      </c>
      <c r="V167" s="178">
        <f>IFERROR(VLOOKUP($D167,Total_DU!$B$5:$AB$171,24,0),0)</f>
        <v>499</v>
      </c>
      <c r="W167" s="178">
        <f>IFERROR(VLOOKUP($D167,Total_DU!$B$5:$AB$174,25,0),0)</f>
        <v>499</v>
      </c>
      <c r="X167" s="178">
        <f>IFERROR(VLOOKUP($D167,Total_DU!$B$5:$AB$174,26,0),0)</f>
        <v>499</v>
      </c>
      <c r="Y167" s="178">
        <f>IFERROR(VLOOKUP($D167,Total_DU!$B$5:$AB$174,27,0),0)</f>
        <v>499</v>
      </c>
      <c r="Z167" s="178">
        <f>IFERROR(VLOOKUP($D167,Population!$B$5:$AA$175,23,FALSE),0)</f>
        <v>989.45025879842365</v>
      </c>
      <c r="AA167" s="178">
        <f>IFERROR(VLOOKUP($D167,Population!$B$5:$AA$175,24,FALSE),0)</f>
        <v>989</v>
      </c>
      <c r="AB167" s="178">
        <f>IFERROR(VLOOKUP($D167,Population!$B$5:$AA$175,25,FALSE),0)</f>
        <v>989</v>
      </c>
      <c r="AC167" s="178">
        <f>IFERROR(VLOOKUP($D167,Population!$B$5:$AA$175,26,FALSE),0)</f>
        <v>851.67961914285252</v>
      </c>
    </row>
    <row r="168" spans="1:29" x14ac:dyDescent="0.2">
      <c r="A168" s="1" t="s">
        <v>604</v>
      </c>
      <c r="B168" s="1" t="s">
        <v>643</v>
      </c>
      <c r="C168" s="1" t="s">
        <v>644</v>
      </c>
      <c r="D168" s="1">
        <v>5870</v>
      </c>
      <c r="E168" s="1">
        <v>2024</v>
      </c>
      <c r="F168" s="175">
        <f>VLOOKUP($D168,'2024Data to Complete Appendix C'!$C$8:$Q$313,2,FALSE)</f>
        <v>6029</v>
      </c>
      <c r="G168" s="175">
        <f>VLOOKUP($D168,'2024Data to Complete Appendix C'!$C$8:$Q$313,3,FALSE)</f>
        <v>2633</v>
      </c>
      <c r="H168" s="175">
        <f>VLOOKUP($D168,'2024Data to Complete Appendix C'!$C$8:$Q$313,4,FALSE)</f>
        <v>34</v>
      </c>
      <c r="I168" s="175">
        <f>VLOOKUP($D168,'2024Data to Complete Appendix C'!$C$8:$Q$313,5,FALSE)</f>
        <v>3617</v>
      </c>
      <c r="J168" s="176">
        <f>VLOOKUP($D168,'2024Data to Complete Appendix C'!$C$8:$Q$313,6,FALSE)</f>
        <v>2.2897799999999999</v>
      </c>
      <c r="K168" s="176">
        <f>VLOOKUP($D168,'2024Data to Complete Appendix C'!$C$8:$Q$313,7,FALSE)</f>
        <v>1.95</v>
      </c>
      <c r="L168" s="176">
        <f>VLOOKUP($D168,'2024Data to Complete Appendix C'!$C$8:$Q$313,8,FALSE)</f>
        <v>1.19787</v>
      </c>
      <c r="M168" s="175">
        <f>VLOOKUP($D168,'2024Data to Complete Appendix C'!$C$8:$Q$313,9,FALSE)</f>
        <v>611.77200000000005</v>
      </c>
      <c r="N168" s="176">
        <f>VLOOKUP($D168,'2024Data to Complete Appendix C'!$C$8:$Q$313,10,FALSE)</f>
        <v>0.18854099999999999</v>
      </c>
      <c r="O168" s="177">
        <f>VLOOKUP($D168,'2024Data to Complete Appendix C'!$C$8:$Q$313,11,FALSE)</f>
        <v>0.56699999999999995</v>
      </c>
      <c r="P168" s="177">
        <f>VLOOKUP($D168,'2024Data to Complete Appendix C'!$C$8:$Q$313,12,FALSE)</f>
        <v>0.77268000000000003</v>
      </c>
      <c r="Q168" s="177">
        <f>VLOOKUP($D168,'2024Data to Complete Appendix C'!$C$8:$Q$313,13,FALSE)</f>
        <v>0.62213407799999998</v>
      </c>
      <c r="R168" s="176">
        <f>VLOOKUP($D168,'2024Data to Complete Appendix C'!$C$8:$Q$313,14,FALSE)</f>
        <v>2.2999999999999998</v>
      </c>
      <c r="S168" s="177">
        <f>VLOOKUP($D168,'2024Data to Complete Appendix C'!$C$8:$Q$313,15,FALSE)</f>
        <v>-0.124001</v>
      </c>
      <c r="T168" s="175">
        <f>IFERROR(VLOOKUP($D168,'2024_Lodging_by_WUP'!$A:$D,4,FALSE),0)</f>
        <v>3</v>
      </c>
      <c r="U168" s="175">
        <f t="shared" si="3"/>
        <v>4.2927251381999998</v>
      </c>
      <c r="V168" s="178">
        <f>IFERROR(VLOOKUP($D168,Total_DU!$B$5:$AB$171,24,0),0)</f>
        <v>1634</v>
      </c>
      <c r="W168" s="178">
        <f>IFERROR(VLOOKUP($D168,Total_DU!$B$5:$AB$174,25,0),0)</f>
        <v>1650</v>
      </c>
      <c r="X168" s="178">
        <f>IFERROR(VLOOKUP($D168,Total_DU!$B$5:$AB$174,26,0),0)</f>
        <v>1694</v>
      </c>
      <c r="Y168" s="178">
        <f>IFERROR(VLOOKUP($D168,Total_DU!$B$5:$AB$174,27,0),0)</f>
        <v>1716</v>
      </c>
      <c r="Z168" s="178">
        <f>IFERROR(VLOOKUP($D168,Population!$B$5:$AA$175,23,FALSE),0)</f>
        <v>3687.8827425064724</v>
      </c>
      <c r="AA168" s="178">
        <f>IFERROR(VLOOKUP($D168,Population!$B$5:$AA$175,24,FALSE),0)</f>
        <v>3954</v>
      </c>
      <c r="AB168" s="178">
        <f>IFERROR(VLOOKUP($D168,Population!$B$5:$AA$175,25,FALSE),0)</f>
        <v>4062</v>
      </c>
      <c r="AC168" s="178">
        <f>IFERROR(VLOOKUP($D168,Population!$B$5:$AA$175,26,FALSE),0)</f>
        <v>3666.6170440194051</v>
      </c>
    </row>
    <row r="169" spans="1:29" x14ac:dyDescent="0.2">
      <c r="A169" s="1" t="s">
        <v>604</v>
      </c>
      <c r="B169" s="1" t="s">
        <v>645</v>
      </c>
      <c r="C169" s="1" t="s">
        <v>646</v>
      </c>
      <c r="D169" s="1">
        <v>5893</v>
      </c>
      <c r="E169" s="1">
        <v>2024</v>
      </c>
      <c r="F169" s="175">
        <f>VLOOKUP($D169,'2024Data to Complete Appendix C'!$C$8:$Q$313,2,FALSE)</f>
        <v>7600</v>
      </c>
      <c r="G169" s="175">
        <f>VLOOKUP($D169,'2024Data to Complete Appendix C'!$C$8:$Q$313,3,FALSE)</f>
        <v>2779</v>
      </c>
      <c r="H169" s="175">
        <f>VLOOKUP($D169,'2024Data to Complete Appendix C'!$C$8:$Q$313,4,FALSE)</f>
        <v>0</v>
      </c>
      <c r="I169" s="175">
        <f>VLOOKUP($D169,'2024Data to Complete Appendix C'!$C$8:$Q$313,5,FALSE)</f>
        <v>3336</v>
      </c>
      <c r="J169" s="176">
        <f>VLOOKUP($D169,'2024Data to Complete Appendix C'!$C$8:$Q$313,6,FALSE)</f>
        <v>2.7347999999999999</v>
      </c>
      <c r="K169" s="176">
        <f>VLOOKUP($D169,'2024Data to Complete Appendix C'!$C$8:$Q$313,7,FALSE)</f>
        <v>1.95</v>
      </c>
      <c r="L169" s="176">
        <f>VLOOKUP($D169,'2024Data to Complete Appendix C'!$C$8:$Q$313,8,FALSE)</f>
        <v>1.0884100000000001</v>
      </c>
      <c r="M169" s="175">
        <f>VLOOKUP($D169,'2024Data to Complete Appendix C'!$C$8:$Q$313,9,FALSE)</f>
        <v>344.565</v>
      </c>
      <c r="N169" s="176">
        <f>VLOOKUP($D169,'2024Data to Complete Appendix C'!$C$8:$Q$313,10,FALSE)</f>
        <v>0.11031100000000001</v>
      </c>
      <c r="O169" s="177">
        <f>VLOOKUP($D169,'2024Data to Complete Appendix C'!$C$8:$Q$313,11,FALSE)</f>
        <v>0.56699999999999995</v>
      </c>
      <c r="P169" s="177">
        <f>VLOOKUP($D169,'2024Data to Complete Appendix C'!$C$8:$Q$313,12,FALSE)</f>
        <v>0.77268000000000003</v>
      </c>
      <c r="Q169" s="177">
        <f>VLOOKUP($D169,'2024Data to Complete Appendix C'!$C$8:$Q$313,13,FALSE)</f>
        <v>0.62213407799999998</v>
      </c>
      <c r="R169" s="176">
        <f>VLOOKUP($D169,'2024Data to Complete Appendix C'!$C$8:$Q$313,14,FALSE)</f>
        <v>2.2999999999999998</v>
      </c>
      <c r="S169" s="177">
        <f>VLOOKUP($D169,'2024Data to Complete Appendix C'!$C$8:$Q$313,15,FALSE)</f>
        <v>-0.260216</v>
      </c>
      <c r="T169" s="175">
        <f>IFERROR(VLOOKUP($D169,'2024_Lodging_by_WUP'!$A:$D,4,FALSE),0)</f>
        <v>174</v>
      </c>
      <c r="U169" s="175">
        <f t="shared" si="3"/>
        <v>248.9780580156</v>
      </c>
      <c r="V169" s="178">
        <f>IFERROR(VLOOKUP($D169,Total_DU!$B$5:$AB$171,24,0),0)</f>
        <v>2299</v>
      </c>
      <c r="W169" s="178">
        <f>IFERROR(VLOOKUP($D169,Total_DU!$B$5:$AB$174,25,0),0)</f>
        <v>2804</v>
      </c>
      <c r="X169" s="178">
        <f>IFERROR(VLOOKUP($D169,Total_DU!$B$5:$AB$174,26,0),0)</f>
        <v>2541</v>
      </c>
      <c r="Y169" s="178">
        <f>IFERROR(VLOOKUP($D169,Total_DU!$B$5:$AB$174,27,0),0)</f>
        <v>2587</v>
      </c>
      <c r="Z169" s="178">
        <f>IFERROR(VLOOKUP($D169,Population!$B$5:$AA$175,23,FALSE),0)</f>
        <v>6313.4441185997066</v>
      </c>
      <c r="AA169" s="178">
        <f>IFERROR(VLOOKUP($D169,Population!$B$5:$AA$175,24,FALSE),0)</f>
        <v>7483</v>
      </c>
      <c r="AB169" s="178">
        <f>IFERROR(VLOOKUP($D169,Population!$B$5:$AA$175,25,FALSE),0)</f>
        <v>6966</v>
      </c>
      <c r="AC169" s="178">
        <f>IFERROR(VLOOKUP($D169,Population!$B$5:$AA$175,26,FALSE),0)</f>
        <v>6985.3865242540214</v>
      </c>
    </row>
    <row r="170" spans="1:29" x14ac:dyDescent="0.2">
      <c r="A170" s="1" t="s">
        <v>604</v>
      </c>
      <c r="B170" s="1" t="s">
        <v>647</v>
      </c>
      <c r="C170" s="1" t="s">
        <v>648</v>
      </c>
      <c r="D170" s="1">
        <v>6124</v>
      </c>
      <c r="E170" s="1">
        <v>2024</v>
      </c>
      <c r="F170" s="175">
        <f>VLOOKUP($D170,'2024Data to Complete Appendix C'!$C$8:$Q$313,2,FALSE)</f>
        <v>9173</v>
      </c>
      <c r="G170" s="175">
        <f>VLOOKUP($D170,'2024Data to Complete Appendix C'!$C$8:$Q$313,3,FALSE)</f>
        <v>3811</v>
      </c>
      <c r="H170" s="175">
        <f>VLOOKUP($D170,'2024Data to Complete Appendix C'!$C$8:$Q$313,4,FALSE)</f>
        <v>0</v>
      </c>
      <c r="I170" s="175">
        <f>VLOOKUP($D170,'2024Data to Complete Appendix C'!$C$8:$Q$313,5,FALSE)</f>
        <v>4190</v>
      </c>
      <c r="J170" s="176">
        <f>VLOOKUP($D170,'2024Data to Complete Appendix C'!$C$8:$Q$313,6,FALSE)</f>
        <v>2.4069799999999999</v>
      </c>
      <c r="K170" s="176">
        <f>VLOOKUP($D170,'2024Data to Complete Appendix C'!$C$8:$Q$313,7,FALSE)</f>
        <v>1.95</v>
      </c>
      <c r="L170" s="176">
        <f>VLOOKUP($D170,'2024Data to Complete Appendix C'!$C$8:$Q$313,8,FALSE)</f>
        <v>1.0557000000000001</v>
      </c>
      <c r="M170" s="175">
        <f>VLOOKUP($D170,'2024Data to Complete Appendix C'!$C$8:$Q$313,9,FALSE)</f>
        <v>262.02600000000001</v>
      </c>
      <c r="N170" s="176">
        <f>VLOOKUP($D170,'2024Data to Complete Appendix C'!$C$8:$Q$313,10,FALSE)</f>
        <v>6.4332E-2</v>
      </c>
      <c r="O170" s="177">
        <f>VLOOKUP($D170,'2024Data to Complete Appendix C'!$C$8:$Q$313,11,FALSE)</f>
        <v>0.56699999999999995</v>
      </c>
      <c r="P170" s="177">
        <f>VLOOKUP($D170,'2024Data to Complete Appendix C'!$C$8:$Q$313,12,FALSE)</f>
        <v>0.77268000000000003</v>
      </c>
      <c r="Q170" s="177">
        <f>VLOOKUP($D170,'2024Data to Complete Appendix C'!$C$8:$Q$313,13,FALSE)</f>
        <v>0.62213407799999998</v>
      </c>
      <c r="R170" s="176">
        <f>VLOOKUP($D170,'2024Data to Complete Appendix C'!$C$8:$Q$313,14,FALSE)</f>
        <v>2.2999999999999998</v>
      </c>
      <c r="S170" s="177">
        <f>VLOOKUP($D170,'2024Data to Complete Appendix C'!$C$8:$Q$313,15,FALSE)</f>
        <v>0.35047499999999998</v>
      </c>
      <c r="T170" s="175">
        <f>IFERROR(VLOOKUP($D170,'2024_Lodging_by_WUP'!$A:$D,4,FALSE),0)</f>
        <v>63</v>
      </c>
      <c r="U170" s="175">
        <f t="shared" si="3"/>
        <v>90.147227902199987</v>
      </c>
      <c r="V170" s="178">
        <f>IFERROR(VLOOKUP($D170,Total_DU!$B$5:$AB$171,24,0),0)</f>
        <v>1859</v>
      </c>
      <c r="W170" s="178">
        <f>IFERROR(VLOOKUP($D170,Total_DU!$B$5:$AB$174,25,0),0)</f>
        <v>1888</v>
      </c>
      <c r="X170" s="178">
        <f>IFERROR(VLOOKUP($D170,Total_DU!$B$5:$AB$174,26,0),0)</f>
        <v>1966</v>
      </c>
      <c r="Y170" s="178">
        <f>IFERROR(VLOOKUP($D170,Total_DU!$B$5:$AB$174,27,0),0)</f>
        <v>2011</v>
      </c>
      <c r="Z170" s="178">
        <f>IFERROR(VLOOKUP($D170,Population!$B$5:$AA$175,23,FALSE),0)</f>
        <v>4802.7394200884555</v>
      </c>
      <c r="AA170" s="178">
        <f>IFERROR(VLOOKUP($D170,Population!$B$5:$AA$175,24,FALSE),0)</f>
        <v>4855</v>
      </c>
      <c r="AB170" s="178">
        <f>IFERROR(VLOOKUP($D170,Population!$B$5:$AA$175,25,FALSE),0)</f>
        <v>5075</v>
      </c>
      <c r="AC170" s="178">
        <f>IFERROR(VLOOKUP($D170,Population!$B$5:$AA$175,26,FALSE),0)</f>
        <v>4986.2533541697558</v>
      </c>
    </row>
    <row r="171" spans="1:29" x14ac:dyDescent="0.2">
      <c r="A171" s="1" t="s">
        <v>604</v>
      </c>
      <c r="B171" s="1" t="s">
        <v>649</v>
      </c>
      <c r="C171" s="1" t="s">
        <v>650</v>
      </c>
      <c r="D171" s="1">
        <v>6174</v>
      </c>
      <c r="E171" s="1">
        <v>2024</v>
      </c>
      <c r="F171" s="175">
        <f>VLOOKUP($D171,'2024Data to Complete Appendix C'!$C$8:$Q$313,2,FALSE)</f>
        <v>716</v>
      </c>
      <c r="G171" s="175">
        <f>VLOOKUP($D171,'2024Data to Complete Appendix C'!$C$8:$Q$313,3,FALSE)</f>
        <v>445</v>
      </c>
      <c r="H171" s="175">
        <f>VLOOKUP($D171,'2024Data to Complete Appendix C'!$C$8:$Q$313,4,FALSE)</f>
        <v>0</v>
      </c>
      <c r="I171" s="175">
        <f>VLOOKUP($D171,'2024Data to Complete Appendix C'!$C$8:$Q$313,5,FALSE)</f>
        <v>1113</v>
      </c>
      <c r="J171" s="176">
        <f>VLOOKUP($D171,'2024Data to Complete Appendix C'!$C$8:$Q$313,6,FALSE)</f>
        <v>1.6089899999999999</v>
      </c>
      <c r="K171" s="176">
        <f>VLOOKUP($D171,'2024Data to Complete Appendix C'!$C$8:$Q$313,7,FALSE)</f>
        <v>1.95</v>
      </c>
      <c r="L171" s="176">
        <f>VLOOKUP($D171,'2024Data to Complete Appendix C'!$C$8:$Q$313,8,FALSE)</f>
        <v>1.21966</v>
      </c>
      <c r="M171" s="175">
        <f>VLOOKUP($D171,'2024Data to Complete Appendix C'!$C$8:$Q$313,9,FALSE)</f>
        <v>80.653000000000006</v>
      </c>
      <c r="N171" s="176">
        <f>VLOOKUP($D171,'2024Data to Complete Appendix C'!$C$8:$Q$313,10,FALSE)</f>
        <v>0.15343399999999999</v>
      </c>
      <c r="O171" s="177">
        <f>VLOOKUP($D171,'2024Data to Complete Appendix C'!$C$8:$Q$313,11,FALSE)</f>
        <v>0.56699999999999995</v>
      </c>
      <c r="P171" s="177">
        <f>VLOOKUP($D171,'2024Data to Complete Appendix C'!$C$8:$Q$313,12,FALSE)</f>
        <v>0.77268000000000003</v>
      </c>
      <c r="Q171" s="177">
        <f>VLOOKUP($D171,'2024Data to Complete Appendix C'!$C$8:$Q$313,13,FALSE)</f>
        <v>0.62213407799999998</v>
      </c>
      <c r="R171" s="176">
        <f>VLOOKUP($D171,'2024Data to Complete Appendix C'!$C$8:$Q$313,14,FALSE)</f>
        <v>2.2999999999999998</v>
      </c>
      <c r="S171" s="177">
        <f>VLOOKUP($D171,'2024Data to Complete Appendix C'!$C$8:$Q$313,15,FALSE)</f>
        <v>-8.7440400000000001E-2</v>
      </c>
      <c r="T171" s="175">
        <f>IFERROR(VLOOKUP($D171,'2024_Lodging_by_WUP'!$A:$D,4,FALSE),0)</f>
        <v>0</v>
      </c>
      <c r="U171" s="175">
        <f t="shared" si="3"/>
        <v>0</v>
      </c>
      <c r="V171" s="178">
        <f>IFERROR(VLOOKUP($D171,Total_DU!$B$5:$AB$171,24,0),0)</f>
        <v>795</v>
      </c>
      <c r="W171" s="178">
        <f>IFERROR(VLOOKUP($D171,Total_DU!$B$5:$AB$174,25,0),0)</f>
        <v>795</v>
      </c>
      <c r="X171" s="178">
        <f>IFERROR(VLOOKUP($D171,Total_DU!$B$5:$AB$174,26,0),0)</f>
        <v>795</v>
      </c>
      <c r="Y171" s="178">
        <f>IFERROR(VLOOKUP($D171,Total_DU!$B$5:$AB$174,27,0),0)</f>
        <v>795</v>
      </c>
      <c r="Z171" s="178">
        <f>IFERROR(VLOOKUP($D171,Population!$B$5:$AA$175,23,FALSE),0)</f>
        <v>1331.755322295262</v>
      </c>
      <c r="AA171" s="178">
        <f>IFERROR(VLOOKUP($D171,Population!$B$5:$AA$175,24,FALSE),0)</f>
        <v>1332</v>
      </c>
      <c r="AB171" s="178">
        <f>IFERROR(VLOOKUP($D171,Population!$B$5:$AA$175,25,FALSE),0)</f>
        <v>1332</v>
      </c>
      <c r="AC171" s="178">
        <f>IFERROR(VLOOKUP($D171,Population!$B$5:$AA$175,26,FALSE),0)</f>
        <v>1266.6708630843527</v>
      </c>
    </row>
    <row r="172" spans="1:29" x14ac:dyDescent="0.2">
      <c r="A172" s="1" t="s">
        <v>604</v>
      </c>
      <c r="B172" s="1" t="s">
        <v>651</v>
      </c>
      <c r="C172" s="1" t="s">
        <v>652</v>
      </c>
      <c r="D172" s="1">
        <v>6208</v>
      </c>
      <c r="E172" s="1">
        <v>2024</v>
      </c>
      <c r="F172" s="175">
        <f>VLOOKUP($D172,'2024Data to Complete Appendix C'!$C$8:$Q$313,2,FALSE)</f>
        <v>510</v>
      </c>
      <c r="G172" s="175">
        <f>VLOOKUP($D172,'2024Data to Complete Appendix C'!$C$8:$Q$313,3,FALSE)</f>
        <v>298</v>
      </c>
      <c r="H172" s="175">
        <f>VLOOKUP($D172,'2024Data to Complete Appendix C'!$C$8:$Q$313,4,FALSE)</f>
        <v>0</v>
      </c>
      <c r="I172" s="175">
        <f>VLOOKUP($D172,'2024Data to Complete Appendix C'!$C$8:$Q$313,5,FALSE)</f>
        <v>499</v>
      </c>
      <c r="J172" s="176">
        <f>VLOOKUP($D172,'2024Data to Complete Appendix C'!$C$8:$Q$313,6,FALSE)</f>
        <v>1.7114100000000001</v>
      </c>
      <c r="K172" s="176">
        <f>VLOOKUP($D172,'2024Data to Complete Appendix C'!$C$8:$Q$313,7,FALSE)</f>
        <v>1.95</v>
      </c>
      <c r="L172" s="176">
        <f>VLOOKUP($D172,'2024Data to Complete Appendix C'!$C$8:$Q$313,8,FALSE)</f>
        <v>1.19787</v>
      </c>
      <c r="M172" s="175">
        <f>VLOOKUP($D172,'2024Data to Complete Appendix C'!$C$8:$Q$313,9,FALSE)</f>
        <v>51.750500000000002</v>
      </c>
      <c r="N172" s="176">
        <f>VLOOKUP($D172,'2024Data to Complete Appendix C'!$C$8:$Q$313,10,FALSE)</f>
        <v>0.14796400000000001</v>
      </c>
      <c r="O172" s="177">
        <f>VLOOKUP($D172,'2024Data to Complete Appendix C'!$C$8:$Q$313,11,FALSE)</f>
        <v>0.56699999999999995</v>
      </c>
      <c r="P172" s="177">
        <f>VLOOKUP($D172,'2024Data to Complete Appendix C'!$C$8:$Q$313,12,FALSE)</f>
        <v>0.77268000000000003</v>
      </c>
      <c r="Q172" s="177">
        <f>VLOOKUP($D172,'2024Data to Complete Appendix C'!$C$8:$Q$313,13,FALSE)</f>
        <v>0.62213407799999998</v>
      </c>
      <c r="R172" s="176">
        <f>VLOOKUP($D172,'2024Data to Complete Appendix C'!$C$8:$Q$313,14,FALSE)</f>
        <v>2.2999999999999998</v>
      </c>
      <c r="S172" s="177">
        <f>VLOOKUP($D172,'2024Data to Complete Appendix C'!$C$8:$Q$313,15,FALSE)</f>
        <v>-0.12878300000000001</v>
      </c>
      <c r="T172" s="175">
        <f>IFERROR(VLOOKUP($D172,'2024_Lodging_by_WUP'!$A:$D,4,FALSE),0)</f>
        <v>0</v>
      </c>
      <c r="U172" s="175">
        <f t="shared" si="3"/>
        <v>0</v>
      </c>
      <c r="V172" s="178">
        <f>IFERROR(VLOOKUP($D172,Total_DU!$B$5:$AB$171,24,0),0)</f>
        <v>0</v>
      </c>
      <c r="W172" s="178">
        <f>IFERROR(VLOOKUP($D172,Total_DU!$B$5:$AB$174,25,0),0)</f>
        <v>0</v>
      </c>
      <c r="X172" s="178">
        <f>IFERROR(VLOOKUP($D172,Total_DU!$B$5:$AB$174,26,0),0)</f>
        <v>0</v>
      </c>
      <c r="Y172" s="178">
        <f>IFERROR(VLOOKUP($D172,Total_DU!$B$5:$AB$174,27,0),0)</f>
        <v>0</v>
      </c>
      <c r="Z172" s="178">
        <f>IFERROR(VLOOKUP($D172,Population!$B$5:$AA$175,23,FALSE),0)</f>
        <v>0</v>
      </c>
      <c r="AA172" s="178">
        <f>IFERROR(VLOOKUP($D172,Population!$B$5:$AA$175,24,FALSE),0)</f>
        <v>0</v>
      </c>
      <c r="AB172" s="178">
        <f>IFERROR(VLOOKUP($D172,Population!$B$5:$AA$175,25,FALSE),0)</f>
        <v>0</v>
      </c>
      <c r="AC172" s="178">
        <f>IFERROR(VLOOKUP($D172,Population!$B$5:$AA$175,26,FALSE),0)</f>
        <v>0</v>
      </c>
    </row>
    <row r="173" spans="1:29" x14ac:dyDescent="0.2">
      <c r="A173" s="1" t="s">
        <v>604</v>
      </c>
      <c r="B173" s="1" t="s">
        <v>653</v>
      </c>
      <c r="C173" s="1" t="s">
        <v>654</v>
      </c>
      <c r="D173" s="1">
        <v>6505</v>
      </c>
      <c r="E173" s="1">
        <v>2024</v>
      </c>
      <c r="F173" s="175">
        <f>VLOOKUP($D173,'2024Data to Complete Appendix C'!$C$8:$Q$313,2,FALSE)</f>
        <v>53253</v>
      </c>
      <c r="G173" s="175">
        <f>VLOOKUP($D173,'2024Data to Complete Appendix C'!$C$8:$Q$313,3,FALSE)</f>
        <v>19247</v>
      </c>
      <c r="H173" s="175">
        <f>VLOOKUP($D173,'2024Data to Complete Appendix C'!$C$8:$Q$313,4,FALSE)</f>
        <v>70</v>
      </c>
      <c r="I173" s="175">
        <f>VLOOKUP($D173,'2024Data to Complete Appendix C'!$C$8:$Q$313,5,FALSE)</f>
        <v>20659</v>
      </c>
      <c r="J173" s="176">
        <f>VLOOKUP($D173,'2024Data to Complete Appendix C'!$C$8:$Q$313,6,FALSE)</f>
        <v>2.7668200000000001</v>
      </c>
      <c r="K173" s="176">
        <f>VLOOKUP($D173,'2024Data to Complete Appendix C'!$C$8:$Q$313,7,FALSE)</f>
        <v>1.95</v>
      </c>
      <c r="L173" s="176">
        <f>VLOOKUP($D173,'2024Data to Complete Appendix C'!$C$8:$Q$313,8,FALSE)</f>
        <v>1.0528200000000001</v>
      </c>
      <c r="M173" s="175">
        <f>VLOOKUP($D173,'2024Data to Complete Appendix C'!$C$8:$Q$313,9,FALSE)</f>
        <v>1442.37</v>
      </c>
      <c r="N173" s="176">
        <f>VLOOKUP($D173,'2024Data to Complete Appendix C'!$C$8:$Q$313,10,FALSE)</f>
        <v>6.9715299999999994E-2</v>
      </c>
      <c r="O173" s="177">
        <f>VLOOKUP($D173,'2024Data to Complete Appendix C'!$C$8:$Q$313,11,FALSE)</f>
        <v>0.56699999999999995</v>
      </c>
      <c r="P173" s="177">
        <f>VLOOKUP($D173,'2024Data to Complete Appendix C'!$C$8:$Q$313,12,FALSE)</f>
        <v>0.77268000000000003</v>
      </c>
      <c r="Q173" s="177">
        <f>VLOOKUP($D173,'2024Data to Complete Appendix C'!$C$8:$Q$313,13,FALSE)</f>
        <v>0.62213407799999998</v>
      </c>
      <c r="R173" s="176">
        <f>VLOOKUP($D173,'2024Data to Complete Appendix C'!$C$8:$Q$313,14,FALSE)</f>
        <v>2.2999999999999998</v>
      </c>
      <c r="S173" s="177">
        <f>VLOOKUP($D173,'2024Data to Complete Appendix C'!$C$8:$Q$313,15,FALSE)</f>
        <v>-0.767459</v>
      </c>
      <c r="T173" s="175">
        <f>IFERROR(VLOOKUP($D173,'2024_Lodging_by_WUP'!$A:$D,4,FALSE),0)</f>
        <v>237</v>
      </c>
      <c r="U173" s="175">
        <f t="shared" si="3"/>
        <v>339.1252859178</v>
      </c>
      <c r="V173" s="178">
        <f>IFERROR(VLOOKUP($D173,Total_DU!$B$5:$AB$171,24,0),0)</f>
        <v>12686</v>
      </c>
      <c r="W173" s="178">
        <f>IFERROR(VLOOKUP($D173,Total_DU!$B$5:$AB$174,25,0),0)</f>
        <v>13015</v>
      </c>
      <c r="X173" s="178">
        <f>IFERROR(VLOOKUP($D173,Total_DU!$B$5:$AB$174,26,0),0)</f>
        <v>13322</v>
      </c>
      <c r="Y173" s="178">
        <f>IFERROR(VLOOKUP($D173,Total_DU!$B$5:$AB$174,27,0),0)</f>
        <v>13347</v>
      </c>
      <c r="Z173" s="178">
        <f>IFERROR(VLOOKUP($D173,Population!$B$5:$AA$175,23,FALSE),0)</f>
        <v>33339.524883004829</v>
      </c>
      <c r="AA173" s="178">
        <f>IFERROR(VLOOKUP($D173,Population!$B$5:$AA$175,24,FALSE),0)</f>
        <v>34205</v>
      </c>
      <c r="AB173" s="178">
        <f>IFERROR(VLOOKUP($D173,Population!$B$5:$AA$175,25,FALSE),0)</f>
        <v>35012</v>
      </c>
      <c r="AC173" s="178">
        <f>IFERROR(VLOOKUP($D173,Population!$B$5:$AA$175,26,FALSE),0)</f>
        <v>35798</v>
      </c>
    </row>
    <row r="174" spans="1:29" x14ac:dyDescent="0.2">
      <c r="A174" s="1" t="s">
        <v>604</v>
      </c>
      <c r="B174" s="1" t="s">
        <v>655</v>
      </c>
      <c r="C174" s="1" t="s">
        <v>654</v>
      </c>
      <c r="D174" s="1">
        <v>6506</v>
      </c>
      <c r="E174" s="1">
        <v>2024</v>
      </c>
      <c r="F174" s="175">
        <f>VLOOKUP($D174,'2024Data to Complete Appendix C'!$C$8:$Q$313,2,FALSE)</f>
        <v>58365</v>
      </c>
      <c r="G174" s="175">
        <f>VLOOKUP($D174,'2024Data to Complete Appendix C'!$C$8:$Q$313,3,FALSE)</f>
        <v>20957</v>
      </c>
      <c r="H174" s="175">
        <f>VLOOKUP($D174,'2024Data to Complete Appendix C'!$C$8:$Q$313,4,FALSE)</f>
        <v>63</v>
      </c>
      <c r="I174" s="175">
        <f>VLOOKUP($D174,'2024Data to Complete Appendix C'!$C$8:$Q$313,5,FALSE)</f>
        <v>22170</v>
      </c>
      <c r="J174" s="176">
        <f>VLOOKUP($D174,'2024Data to Complete Appendix C'!$C$8:$Q$313,6,FALSE)</f>
        <v>2.7849900000000001</v>
      </c>
      <c r="K174" s="176">
        <f>VLOOKUP($D174,'2024Data to Complete Appendix C'!$C$8:$Q$313,7,FALSE)</f>
        <v>1.95</v>
      </c>
      <c r="L174" s="176">
        <f>VLOOKUP($D174,'2024Data to Complete Appendix C'!$C$8:$Q$313,8,FALSE)</f>
        <v>1.0382</v>
      </c>
      <c r="M174" s="175">
        <f>VLOOKUP($D174,'2024Data to Complete Appendix C'!$C$8:$Q$313,9,FALSE)</f>
        <v>1143.25</v>
      </c>
      <c r="N174" s="176">
        <f>VLOOKUP($D174,'2024Data to Complete Appendix C'!$C$8:$Q$313,10,FALSE)</f>
        <v>5.17303E-2</v>
      </c>
      <c r="O174" s="177">
        <f>VLOOKUP($D174,'2024Data to Complete Appendix C'!$C$8:$Q$313,11,FALSE)</f>
        <v>0.56699999999999995</v>
      </c>
      <c r="P174" s="177">
        <f>VLOOKUP($D174,'2024Data to Complete Appendix C'!$C$8:$Q$313,12,FALSE)</f>
        <v>0.77268000000000003</v>
      </c>
      <c r="Q174" s="177">
        <f>VLOOKUP($D174,'2024Data to Complete Appendix C'!$C$8:$Q$313,13,FALSE)</f>
        <v>0.62213407799999998</v>
      </c>
      <c r="R174" s="176">
        <f>VLOOKUP($D174,'2024Data to Complete Appendix C'!$C$8:$Q$313,14,FALSE)</f>
        <v>2.2999999999999998</v>
      </c>
      <c r="S174" s="177">
        <f>VLOOKUP($D174,'2024Data to Complete Appendix C'!$C$8:$Q$313,15,FALSE)</f>
        <v>-0.79937800000000003</v>
      </c>
      <c r="T174" s="175">
        <f>IFERROR(VLOOKUP($D174,'2024_Lodging_by_WUP'!$A:$D,4,FALSE),0)</f>
        <v>32</v>
      </c>
      <c r="U174" s="175">
        <f t="shared" si="3"/>
        <v>45.789068140799998</v>
      </c>
      <c r="V174" s="178">
        <f>IFERROR(VLOOKUP($D174,Total_DU!$B$5:$AB$171,24,0),0)</f>
        <v>16220</v>
      </c>
      <c r="W174" s="178">
        <f>IFERROR(VLOOKUP($D174,Total_DU!$B$5:$AB$174,25,0),0)</f>
        <v>16500</v>
      </c>
      <c r="X174" s="178">
        <f>IFERROR(VLOOKUP($D174,Total_DU!$B$5:$AB$174,26,0),0)</f>
        <v>16253</v>
      </c>
      <c r="Y174" s="178">
        <f>IFERROR(VLOOKUP($D174,Total_DU!$B$5:$AB$174,27,0),0)</f>
        <v>16567</v>
      </c>
      <c r="Z174" s="178">
        <f>IFERROR(VLOOKUP($D174,Population!$B$5:$AA$175,23,FALSE),0)</f>
        <v>45112.765863446984</v>
      </c>
      <c r="AA174" s="178">
        <f>IFERROR(VLOOKUP($D174,Population!$B$5:$AA$175,24,FALSE),0)</f>
        <v>45859</v>
      </c>
      <c r="AB174" s="178">
        <f>IFERROR(VLOOKUP($D174,Population!$B$5:$AA$175,25,FALSE),0)</f>
        <v>45177</v>
      </c>
      <c r="AC174" s="178">
        <f>IFERROR(VLOOKUP($D174,Population!$B$5:$AA$175,26,FALSE),0)</f>
        <v>45141</v>
      </c>
    </row>
    <row r="175" spans="1:29" x14ac:dyDescent="0.2">
      <c r="A175" s="1" t="s">
        <v>604</v>
      </c>
      <c r="B175" s="1" t="s">
        <v>656</v>
      </c>
      <c r="C175" s="1" t="s">
        <v>654</v>
      </c>
      <c r="D175" s="1">
        <v>6507</v>
      </c>
      <c r="E175" s="1">
        <v>2024</v>
      </c>
      <c r="F175" s="175">
        <f>VLOOKUP($D175,'2024Data to Complete Appendix C'!$C$8:$Q$313,2,FALSE)</f>
        <v>19054</v>
      </c>
      <c r="G175" s="175">
        <f>VLOOKUP($D175,'2024Data to Complete Appendix C'!$C$8:$Q$313,3,FALSE)</f>
        <v>7050</v>
      </c>
      <c r="H175" s="175">
        <f>VLOOKUP($D175,'2024Data to Complete Appendix C'!$C$8:$Q$313,4,FALSE)</f>
        <v>32</v>
      </c>
      <c r="I175" s="175">
        <f>VLOOKUP($D175,'2024Data to Complete Appendix C'!$C$8:$Q$313,5,FALSE)</f>
        <v>7612</v>
      </c>
      <c r="J175" s="176">
        <f>VLOOKUP($D175,'2024Data to Complete Appendix C'!$C$8:$Q$313,6,FALSE)</f>
        <v>2.7027000000000001</v>
      </c>
      <c r="K175" s="176">
        <f>VLOOKUP($D175,'2024Data to Complete Appendix C'!$C$8:$Q$313,7,FALSE)</f>
        <v>1.95</v>
      </c>
      <c r="L175" s="176">
        <f>VLOOKUP($D175,'2024Data to Complete Appendix C'!$C$8:$Q$313,8,FALSE)</f>
        <v>1.0206500000000001</v>
      </c>
      <c r="M175" s="175">
        <f>VLOOKUP($D175,'2024Data to Complete Appendix C'!$C$8:$Q$313,9,FALSE)</f>
        <v>201.739</v>
      </c>
      <c r="N175" s="176">
        <f>VLOOKUP($D175,'2024Data to Complete Appendix C'!$C$8:$Q$313,10,FALSE)</f>
        <v>2.7819400000000001E-2</v>
      </c>
      <c r="O175" s="177">
        <f>VLOOKUP($D175,'2024Data to Complete Appendix C'!$C$8:$Q$313,11,FALSE)</f>
        <v>0.56699999999999995</v>
      </c>
      <c r="P175" s="177">
        <f>VLOOKUP($D175,'2024Data to Complete Appendix C'!$C$8:$Q$313,12,FALSE)</f>
        <v>0.77268000000000003</v>
      </c>
      <c r="Q175" s="177">
        <f>VLOOKUP($D175,'2024Data to Complete Appendix C'!$C$8:$Q$313,13,FALSE)</f>
        <v>0.62213407799999998</v>
      </c>
      <c r="R175" s="176">
        <f>VLOOKUP($D175,'2024Data to Complete Appendix C'!$C$8:$Q$313,14,FALSE)</f>
        <v>2.2999999999999998</v>
      </c>
      <c r="S175" s="177">
        <f>VLOOKUP($D175,'2024Data to Complete Appendix C'!$C$8:$Q$313,15,FALSE)</f>
        <v>-0.60723199999999999</v>
      </c>
      <c r="T175" s="175">
        <f>IFERROR(VLOOKUP($D175,'2024_Lodging_by_WUP'!$A:$D,4,FALSE),0)</f>
        <v>3</v>
      </c>
      <c r="U175" s="175">
        <f t="shared" si="3"/>
        <v>4.2927251381999998</v>
      </c>
      <c r="V175" s="178">
        <f>IFERROR(VLOOKUP($D175,Total_DU!$B$5:$AB$171,24,0),0)</f>
        <v>5331</v>
      </c>
      <c r="W175" s="178">
        <f>IFERROR(VLOOKUP($D175,Total_DU!$B$5:$AB$174,25,0),0)</f>
        <v>5494</v>
      </c>
      <c r="X175" s="178">
        <f>IFERROR(VLOOKUP($D175,Total_DU!$B$5:$AB$174,26,0),0)</f>
        <v>5494</v>
      </c>
      <c r="Y175" s="178">
        <f>IFERROR(VLOOKUP($D175,Total_DU!$B$5:$AB$174,27,0),0)</f>
        <v>5867</v>
      </c>
      <c r="Z175" s="178">
        <f>IFERROR(VLOOKUP($D175,Population!$B$5:$AA$175,23,FALSE),0)</f>
        <v>14660.457989295097</v>
      </c>
      <c r="AA175" s="178">
        <f>IFERROR(VLOOKUP($D175,Population!$B$5:$AA$175,24,FALSE),0)</f>
        <v>15108</v>
      </c>
      <c r="AB175" s="178">
        <f>IFERROR(VLOOKUP($D175,Population!$B$5:$AA$175,25,FALSE),0)</f>
        <v>15109</v>
      </c>
      <c r="AC175" s="178">
        <f>IFERROR(VLOOKUP($D175,Population!$B$5:$AA$175,26,FALSE),0)</f>
        <v>15690.67141192827</v>
      </c>
    </row>
    <row r="176" spans="1:29" x14ac:dyDescent="0.2">
      <c r="A176" s="1" t="s">
        <v>604</v>
      </c>
      <c r="B176" s="1" t="s">
        <v>657</v>
      </c>
      <c r="C176" s="1" t="s">
        <v>654</v>
      </c>
      <c r="D176" s="1">
        <v>6508</v>
      </c>
      <c r="E176" s="1">
        <v>2024</v>
      </c>
      <c r="F176" s="175">
        <f>VLOOKUP($D176,'2024Data to Complete Appendix C'!$C$8:$Q$313,2,FALSE)</f>
        <v>5948</v>
      </c>
      <c r="G176" s="175">
        <f>VLOOKUP($D176,'2024Data to Complete Appendix C'!$C$8:$Q$313,3,FALSE)</f>
        <v>2411</v>
      </c>
      <c r="H176" s="175">
        <f>VLOOKUP($D176,'2024Data to Complete Appendix C'!$C$8:$Q$313,4,FALSE)</f>
        <v>2120</v>
      </c>
      <c r="I176" s="175">
        <f>VLOOKUP($D176,'2024Data to Complete Appendix C'!$C$8:$Q$313,5,FALSE)</f>
        <v>3159</v>
      </c>
      <c r="J176" s="176">
        <f>VLOOKUP($D176,'2024Data to Complete Appendix C'!$C$8:$Q$313,6,FALSE)</f>
        <v>2.4670299999999998</v>
      </c>
      <c r="K176" s="176">
        <f>VLOOKUP($D176,'2024Data to Complete Appendix C'!$C$8:$Q$313,7,FALSE)</f>
        <v>1.95</v>
      </c>
      <c r="L176" s="176">
        <f>VLOOKUP($D176,'2024Data to Complete Appendix C'!$C$8:$Q$313,8,FALSE)</f>
        <v>1.16195</v>
      </c>
      <c r="M176" s="175">
        <f>VLOOKUP($D176,'2024Data to Complete Appendix C'!$C$8:$Q$313,9,FALSE)</f>
        <v>493.98899999999998</v>
      </c>
      <c r="N176" s="176">
        <f>VLOOKUP($D176,'2024Data to Complete Appendix C'!$C$8:$Q$313,10,FALSE)</f>
        <v>0.170048</v>
      </c>
      <c r="O176" s="177">
        <f>VLOOKUP($D176,'2024Data to Complete Appendix C'!$C$8:$Q$313,11,FALSE)</f>
        <v>0.56699999999999995</v>
      </c>
      <c r="P176" s="177">
        <f>VLOOKUP($D176,'2024Data to Complete Appendix C'!$C$8:$Q$313,12,FALSE)</f>
        <v>0.77268000000000003</v>
      </c>
      <c r="Q176" s="177">
        <f>VLOOKUP($D176,'2024Data to Complete Appendix C'!$C$8:$Q$313,13,FALSE)</f>
        <v>0.62213407799999998</v>
      </c>
      <c r="R176" s="176">
        <f>VLOOKUP($D176,'2024Data to Complete Appendix C'!$C$8:$Q$313,14,FALSE)</f>
        <v>2.2999999999999998</v>
      </c>
      <c r="S176" s="177">
        <f>VLOOKUP($D176,'2024Data to Complete Appendix C'!$C$8:$Q$313,15,FALSE)</f>
        <v>-0.441909</v>
      </c>
      <c r="T176" s="175">
        <f>IFERROR(VLOOKUP($D176,'2024_Lodging_by_WUP'!$A:$D,4,FALSE),0)</f>
        <v>63</v>
      </c>
      <c r="U176" s="175">
        <f t="shared" si="3"/>
        <v>90.147227902199987</v>
      </c>
      <c r="V176" s="178">
        <f>IFERROR(VLOOKUP($D176,Total_DU!$B$5:$AB$171,24,0),0)</f>
        <v>1619</v>
      </c>
      <c r="W176" s="178">
        <f>IFERROR(VLOOKUP($D176,Total_DU!$B$5:$AB$174,25,0),0)</f>
        <v>1624</v>
      </c>
      <c r="X176" s="178">
        <f>IFERROR(VLOOKUP($D176,Total_DU!$B$5:$AB$174,26,0),0)</f>
        <v>1627</v>
      </c>
      <c r="Y176" s="178">
        <f>IFERROR(VLOOKUP($D176,Total_DU!$B$5:$AB$174,27,0),0)</f>
        <v>1651</v>
      </c>
      <c r="Z176" s="178">
        <f>IFERROR(VLOOKUP($D176,Population!$B$5:$AA$175,23,FALSE),0)</f>
        <v>5071.9028888100556</v>
      </c>
      <c r="AA176" s="178">
        <f>IFERROR(VLOOKUP($D176,Population!$B$5:$AA$175,24,FALSE),0)</f>
        <v>5058</v>
      </c>
      <c r="AB176" s="178">
        <f>IFERROR(VLOOKUP($D176,Population!$B$5:$AA$175,25,FALSE),0)</f>
        <v>5097</v>
      </c>
      <c r="AC176" s="178">
        <f>IFERROR(VLOOKUP($D176,Population!$B$5:$AA$175,26,FALSE),0)</f>
        <v>5005.9122033916301</v>
      </c>
    </row>
    <row r="177" spans="1:29" x14ac:dyDescent="0.2">
      <c r="A177" s="1" t="s">
        <v>604</v>
      </c>
      <c r="B177" s="1" t="s">
        <v>658</v>
      </c>
      <c r="C177" s="1" t="s">
        <v>654</v>
      </c>
      <c r="D177" s="1">
        <v>6509</v>
      </c>
      <c r="E177" s="1">
        <v>2024</v>
      </c>
      <c r="F177" s="175">
        <f>VLOOKUP($D177,'2024Data to Complete Appendix C'!$C$8:$Q$313,2,FALSE)</f>
        <v>62134</v>
      </c>
      <c r="G177" s="175">
        <f>VLOOKUP($D177,'2024Data to Complete Appendix C'!$C$8:$Q$313,3,FALSE)</f>
        <v>22668</v>
      </c>
      <c r="H177" s="175">
        <f>VLOOKUP($D177,'2024Data to Complete Appendix C'!$C$8:$Q$313,4,FALSE)</f>
        <v>214</v>
      </c>
      <c r="I177" s="175">
        <f>VLOOKUP($D177,'2024Data to Complete Appendix C'!$C$8:$Q$313,5,FALSE)</f>
        <v>30948</v>
      </c>
      <c r="J177" s="176">
        <f>VLOOKUP($D177,'2024Data to Complete Appendix C'!$C$8:$Q$313,6,FALSE)</f>
        <v>2.7410399999999999</v>
      </c>
      <c r="K177" s="176">
        <f>VLOOKUP($D177,'2024Data to Complete Appendix C'!$C$8:$Q$313,7,FALSE)</f>
        <v>1.95</v>
      </c>
      <c r="L177" s="176">
        <f>VLOOKUP($D177,'2024Data to Complete Appendix C'!$C$8:$Q$313,8,FALSE)</f>
        <v>1.08674</v>
      </c>
      <c r="M177" s="175">
        <f>VLOOKUP($D177,'2024Data to Complete Appendix C'!$C$8:$Q$313,9,FALSE)</f>
        <v>2763.8</v>
      </c>
      <c r="N177" s="176">
        <f>VLOOKUP($D177,'2024Data to Complete Appendix C'!$C$8:$Q$313,10,FALSE)</f>
        <v>0.10867499999999999</v>
      </c>
      <c r="O177" s="177">
        <f>VLOOKUP($D177,'2024Data to Complete Appendix C'!$C$8:$Q$313,11,FALSE)</f>
        <v>0.56699999999999995</v>
      </c>
      <c r="P177" s="177">
        <f>VLOOKUP($D177,'2024Data to Complete Appendix C'!$C$8:$Q$313,12,FALSE)</f>
        <v>0.77268000000000003</v>
      </c>
      <c r="Q177" s="177">
        <f>VLOOKUP($D177,'2024Data to Complete Appendix C'!$C$8:$Q$313,13,FALSE)</f>
        <v>0.62213407799999998</v>
      </c>
      <c r="R177" s="176">
        <f>VLOOKUP($D177,'2024Data to Complete Appendix C'!$C$8:$Q$313,14,FALSE)</f>
        <v>2.2999999999999998</v>
      </c>
      <c r="S177" s="177">
        <f>VLOOKUP($D177,'2024Data to Complete Appendix C'!$C$8:$Q$313,15,FALSE)</f>
        <v>-0.52971999999999997</v>
      </c>
      <c r="T177" s="175">
        <f>IFERROR(VLOOKUP($D177,'2024_Lodging_by_WUP'!$A:$D,4,FALSE),0)</f>
        <v>4301</v>
      </c>
      <c r="U177" s="175">
        <f t="shared" si="3"/>
        <v>6154.3369397993993</v>
      </c>
      <c r="V177" s="178">
        <f>IFERROR(VLOOKUP($D177,Total_DU!$B$5:$AB$171,24,0),0)</f>
        <v>29694</v>
      </c>
      <c r="W177" s="178">
        <f>IFERROR(VLOOKUP($D177,Total_DU!$B$5:$AB$174,25,0),0)</f>
        <v>31171</v>
      </c>
      <c r="X177" s="178">
        <f>IFERROR(VLOOKUP($D177,Total_DU!$B$5:$AB$174,26,0),0)</f>
        <v>34764</v>
      </c>
      <c r="Y177" s="178">
        <f>IFERROR(VLOOKUP($D177,Total_DU!$B$5:$AB$174,27,0),0)</f>
        <v>38524</v>
      </c>
      <c r="Z177" s="178">
        <f>IFERROR(VLOOKUP($D177,Population!$B$5:$AA$175,23,FALSE),0)</f>
        <v>90983</v>
      </c>
      <c r="AA177" s="178">
        <f>IFERROR(VLOOKUP($D177,Population!$B$5:$AA$175,24,FALSE),0)</f>
        <v>92298</v>
      </c>
      <c r="AB177" s="178">
        <f>IFERROR(VLOOKUP($D177,Population!$B$5:$AA$175,25,FALSE),0)</f>
        <v>104997</v>
      </c>
      <c r="AC177" s="178">
        <f>IFERROR(VLOOKUP($D177,Population!$B$5:$AA$175,26,FALSE),0)</f>
        <v>117734</v>
      </c>
    </row>
    <row r="178" spans="1:29" x14ac:dyDescent="0.2">
      <c r="A178" s="1" t="s">
        <v>604</v>
      </c>
      <c r="B178" s="1" t="s">
        <v>659</v>
      </c>
      <c r="C178" s="1" t="s">
        <v>660</v>
      </c>
      <c r="D178" s="1">
        <v>6624</v>
      </c>
      <c r="E178" s="1">
        <v>2024</v>
      </c>
      <c r="F178" s="175">
        <f>VLOOKUP($D178,'2024Data to Complete Appendix C'!$C$8:$Q$313,2,FALSE)</f>
        <v>11926</v>
      </c>
      <c r="G178" s="175">
        <f>VLOOKUP($D178,'2024Data to Complete Appendix C'!$C$8:$Q$313,3,FALSE)</f>
        <v>4908</v>
      </c>
      <c r="H178" s="175">
        <f>VLOOKUP($D178,'2024Data to Complete Appendix C'!$C$8:$Q$313,4,FALSE)</f>
        <v>131</v>
      </c>
      <c r="I178" s="175">
        <f>VLOOKUP($D178,'2024Data to Complete Appendix C'!$C$8:$Q$313,5,FALSE)</f>
        <v>5692</v>
      </c>
      <c r="J178" s="176">
        <f>VLOOKUP($D178,'2024Data to Complete Appendix C'!$C$8:$Q$313,6,FALSE)</f>
        <v>2.42991</v>
      </c>
      <c r="K178" s="176">
        <f>VLOOKUP($D178,'2024Data to Complete Appendix C'!$C$8:$Q$313,7,FALSE)</f>
        <v>1.95</v>
      </c>
      <c r="L178" s="176">
        <f>VLOOKUP($D178,'2024Data to Complete Appendix C'!$C$8:$Q$313,8,FALSE)</f>
        <v>1.0803499999999999</v>
      </c>
      <c r="M178" s="175">
        <f>VLOOKUP($D178,'2024Data to Complete Appendix C'!$C$8:$Q$313,9,FALSE)</f>
        <v>491.38200000000001</v>
      </c>
      <c r="N178" s="176">
        <f>VLOOKUP($D178,'2024Data to Complete Appendix C'!$C$8:$Q$313,10,FALSE)</f>
        <v>9.1007099999999994E-2</v>
      </c>
      <c r="O178" s="177">
        <f>VLOOKUP($D178,'2024Data to Complete Appendix C'!$C$8:$Q$313,11,FALSE)</f>
        <v>0.56699999999999995</v>
      </c>
      <c r="P178" s="177">
        <f>VLOOKUP($D178,'2024Data to Complete Appendix C'!$C$8:$Q$313,12,FALSE)</f>
        <v>0.77268000000000003</v>
      </c>
      <c r="Q178" s="177">
        <f>VLOOKUP($D178,'2024Data to Complete Appendix C'!$C$8:$Q$313,13,FALSE)</f>
        <v>0.62213407799999998</v>
      </c>
      <c r="R178" s="176">
        <f>VLOOKUP($D178,'2024Data to Complete Appendix C'!$C$8:$Q$313,14,FALSE)</f>
        <v>2.2999999999999998</v>
      </c>
      <c r="S178" s="177">
        <f>VLOOKUP($D178,'2024Data to Complete Appendix C'!$C$8:$Q$313,15,FALSE)</f>
        <v>-0.229042</v>
      </c>
      <c r="T178" s="175">
        <f>IFERROR(VLOOKUP($D178,'2024_Lodging_by_WUP'!$A:$D,4,FALSE),0)</f>
        <v>18</v>
      </c>
      <c r="U178" s="175">
        <f t="shared" si="3"/>
        <v>25.756350829199999</v>
      </c>
      <c r="V178" s="178">
        <f>IFERROR(VLOOKUP($D178,Total_DU!$B$5:$AB$171,24,0),0)</f>
        <v>3173</v>
      </c>
      <c r="W178" s="178">
        <f>IFERROR(VLOOKUP($D178,Total_DU!$B$5:$AB$174,25,0),0)</f>
        <v>3235</v>
      </c>
      <c r="X178" s="178">
        <f>IFERROR(VLOOKUP($D178,Total_DU!$B$5:$AB$174,26,0),0)</f>
        <v>3395</v>
      </c>
      <c r="Y178" s="178">
        <f>IFERROR(VLOOKUP($D178,Total_DU!$B$5:$AB$174,27,0),0)</f>
        <v>3952</v>
      </c>
      <c r="Z178" s="178">
        <f>IFERROR(VLOOKUP($D178,Population!$B$5:$AA$175,23,FALSE),0)</f>
        <v>8596.5313070172615</v>
      </c>
      <c r="AA178" s="178">
        <f>IFERROR(VLOOKUP($D178,Population!$B$5:$AA$175,24,FALSE),0)</f>
        <v>8752</v>
      </c>
      <c r="AB178" s="178">
        <f>IFERROR(VLOOKUP($D178,Population!$B$5:$AA$175,25,FALSE),0)</f>
        <v>9203</v>
      </c>
      <c r="AC178" s="178">
        <f>IFERROR(VLOOKUP($D178,Population!$B$5:$AA$175,26,FALSE),0)</f>
        <v>9388.9167820064031</v>
      </c>
    </row>
    <row r="179" spans="1:29" x14ac:dyDescent="0.2">
      <c r="A179" s="1" t="s">
        <v>604</v>
      </c>
      <c r="B179" s="1" t="s">
        <v>661</v>
      </c>
      <c r="C179" s="1" t="s">
        <v>618</v>
      </c>
      <c r="D179" s="1">
        <v>6679</v>
      </c>
      <c r="E179" s="1">
        <v>2024</v>
      </c>
      <c r="F179" s="175">
        <f>VLOOKUP($D179,'2024Data to Complete Appendix C'!$C$8:$Q$313,2,FALSE)</f>
        <v>270</v>
      </c>
      <c r="G179" s="175">
        <f>VLOOKUP($D179,'2024Data to Complete Appendix C'!$C$8:$Q$313,3,FALSE)</f>
        <v>92</v>
      </c>
      <c r="H179" s="175">
        <f>VLOOKUP($D179,'2024Data to Complete Appendix C'!$C$8:$Q$313,4,FALSE)</f>
        <v>0</v>
      </c>
      <c r="I179" s="175">
        <f>VLOOKUP($D179,'2024Data to Complete Appendix C'!$C$8:$Q$313,5,FALSE)</f>
        <v>105</v>
      </c>
      <c r="J179" s="176">
        <f>VLOOKUP($D179,'2024Data to Complete Appendix C'!$C$8:$Q$313,6,FALSE)</f>
        <v>2.9347799999999999</v>
      </c>
      <c r="K179" s="176">
        <f>VLOOKUP($D179,'2024Data to Complete Appendix C'!$C$8:$Q$313,7,FALSE)</f>
        <v>1.95</v>
      </c>
      <c r="L179" s="176">
        <f>VLOOKUP($D179,'2024Data to Complete Appendix C'!$C$8:$Q$313,8,FALSE)</f>
        <v>1.0980099999999999</v>
      </c>
      <c r="M179" s="175">
        <f>VLOOKUP($D179,'2024Data to Complete Appendix C'!$C$8:$Q$313,9,FALSE)</f>
        <v>13.57</v>
      </c>
      <c r="N179" s="176">
        <f>VLOOKUP($D179,'2024Data to Complete Appendix C'!$C$8:$Q$313,10,FALSE)</f>
        <v>0.12853999999999999</v>
      </c>
      <c r="O179" s="177">
        <f>VLOOKUP($D179,'2024Data to Complete Appendix C'!$C$8:$Q$313,11,FALSE)</f>
        <v>0.56699999999999995</v>
      </c>
      <c r="P179" s="177">
        <f>VLOOKUP($D179,'2024Data to Complete Appendix C'!$C$8:$Q$313,12,FALSE)</f>
        <v>0.77268000000000003</v>
      </c>
      <c r="Q179" s="177">
        <f>VLOOKUP($D179,'2024Data to Complete Appendix C'!$C$8:$Q$313,13,FALSE)</f>
        <v>0.62213407799999998</v>
      </c>
      <c r="R179" s="176">
        <f>VLOOKUP($D179,'2024Data to Complete Appendix C'!$C$8:$Q$313,14,FALSE)</f>
        <v>2.2999999999999998</v>
      </c>
      <c r="S179" s="177">
        <f>VLOOKUP($D179,'2024Data to Complete Appendix C'!$C$8:$Q$313,15,FALSE)</f>
        <v>-2.5196E-2</v>
      </c>
      <c r="T179" s="175">
        <f>IFERROR(VLOOKUP($D179,'2024_Lodging_by_WUP'!$A:$D,4,FALSE),0)</f>
        <v>0</v>
      </c>
      <c r="U179" s="175">
        <f t="shared" si="3"/>
        <v>0</v>
      </c>
      <c r="V179" s="178">
        <f>IFERROR(VLOOKUP($D179,Total_DU!$B$5:$AB$171,24,0),0)</f>
        <v>0</v>
      </c>
      <c r="W179" s="178">
        <f>IFERROR(VLOOKUP($D179,Total_DU!$B$5:$AB$174,25,0),0)</f>
        <v>0</v>
      </c>
      <c r="X179" s="178">
        <f>IFERROR(VLOOKUP($D179,Total_DU!$B$5:$AB$174,26,0),0)</f>
        <v>0</v>
      </c>
      <c r="Y179" s="178">
        <f>IFERROR(VLOOKUP($D179,Total_DU!$B$5:$AB$174,27,0),0)</f>
        <v>0</v>
      </c>
      <c r="Z179" s="178">
        <f>IFERROR(VLOOKUP($D179,Population!$B$5:$AA$175,23,FALSE),0)</f>
        <v>0</v>
      </c>
      <c r="AA179" s="178">
        <f>IFERROR(VLOOKUP($D179,Population!$B$5:$AA$175,24,FALSE),0)</f>
        <v>0</v>
      </c>
      <c r="AB179" s="178">
        <f>IFERROR(VLOOKUP($D179,Population!$B$5:$AA$175,25,FALSE),0)</f>
        <v>0</v>
      </c>
      <c r="AC179" s="178">
        <f>IFERROR(VLOOKUP($D179,Population!$B$5:$AA$175,26,FALSE),0)</f>
        <v>0</v>
      </c>
    </row>
    <row r="180" spans="1:29" x14ac:dyDescent="0.2">
      <c r="A180" s="1" t="s">
        <v>604</v>
      </c>
      <c r="B180" s="1" t="s">
        <v>662</v>
      </c>
      <c r="C180" s="1" t="s">
        <v>663</v>
      </c>
      <c r="D180" s="1">
        <v>6920</v>
      </c>
      <c r="E180" s="1">
        <v>2024</v>
      </c>
      <c r="F180" s="175">
        <f>VLOOKUP($D180,'2024Data to Complete Appendix C'!$C$8:$Q$313,2,FALSE)</f>
        <v>7644</v>
      </c>
      <c r="G180" s="175">
        <f>VLOOKUP($D180,'2024Data to Complete Appendix C'!$C$8:$Q$313,3,FALSE)</f>
        <v>2582</v>
      </c>
      <c r="H180" s="175">
        <f>VLOOKUP($D180,'2024Data to Complete Appendix C'!$C$8:$Q$313,4,FALSE)</f>
        <v>32</v>
      </c>
      <c r="I180" s="175">
        <f>VLOOKUP($D180,'2024Data to Complete Appendix C'!$C$8:$Q$313,5,FALSE)</f>
        <v>2811</v>
      </c>
      <c r="J180" s="176">
        <f>VLOOKUP($D180,'2024Data to Complete Appendix C'!$C$8:$Q$313,6,FALSE)</f>
        <v>2.9605000000000001</v>
      </c>
      <c r="K180" s="176">
        <f>VLOOKUP($D180,'2024Data to Complete Appendix C'!$C$8:$Q$313,7,FALSE)</f>
        <v>1.95</v>
      </c>
      <c r="L180" s="176">
        <f>VLOOKUP($D180,'2024Data to Complete Appendix C'!$C$8:$Q$313,8,FALSE)</f>
        <v>1.0781400000000001</v>
      </c>
      <c r="M180" s="175">
        <f>VLOOKUP($D180,'2024Data to Complete Appendix C'!$C$8:$Q$313,9,FALSE)</f>
        <v>306.31400000000002</v>
      </c>
      <c r="N180" s="176">
        <f>VLOOKUP($D180,'2024Data to Complete Appendix C'!$C$8:$Q$313,10,FALSE)</f>
        <v>0.10605299999999999</v>
      </c>
      <c r="O180" s="177">
        <f>VLOOKUP($D180,'2024Data to Complete Appendix C'!$C$8:$Q$313,11,FALSE)</f>
        <v>0.56699999999999995</v>
      </c>
      <c r="P180" s="177">
        <f>VLOOKUP($D180,'2024Data to Complete Appendix C'!$C$8:$Q$313,12,FALSE)</f>
        <v>0.77268000000000003</v>
      </c>
      <c r="Q180" s="177">
        <f>VLOOKUP($D180,'2024Data to Complete Appendix C'!$C$8:$Q$313,13,FALSE)</f>
        <v>0.62213407799999998</v>
      </c>
      <c r="R180" s="176">
        <f>VLOOKUP($D180,'2024Data to Complete Appendix C'!$C$8:$Q$313,14,FALSE)</f>
        <v>2.2999999999999998</v>
      </c>
      <c r="S180" s="177">
        <f>VLOOKUP($D180,'2024Data to Complete Appendix C'!$C$8:$Q$313,15,FALSE)</f>
        <v>-0.45604800000000001</v>
      </c>
      <c r="T180" s="175">
        <f>IFERROR(VLOOKUP($D180,'2024_Lodging_by_WUP'!$A:$D,4,FALSE),0)</f>
        <v>4</v>
      </c>
      <c r="U180" s="175">
        <f t="shared" si="3"/>
        <v>5.7236335175999997</v>
      </c>
      <c r="V180" s="178">
        <f>IFERROR(VLOOKUP($D180,Total_DU!$B$5:$AB$171,24,0),0)</f>
        <v>1574</v>
      </c>
      <c r="W180" s="178">
        <f>IFERROR(VLOOKUP($D180,Total_DU!$B$5:$AB$174,25,0),0)</f>
        <v>1817</v>
      </c>
      <c r="X180" s="178">
        <f>IFERROR(VLOOKUP($D180,Total_DU!$B$5:$AB$174,26,0),0)</f>
        <v>2112</v>
      </c>
      <c r="Y180" s="178">
        <f>IFERROR(VLOOKUP($D180,Total_DU!$B$5:$AB$174,27,0),0)</f>
        <v>2796</v>
      </c>
      <c r="Z180" s="178">
        <f>IFERROR(VLOOKUP($D180,Population!$B$5:$AA$175,23,FALSE),0)</f>
        <v>4535.1958340989559</v>
      </c>
      <c r="AA180" s="178">
        <f>IFERROR(VLOOKUP($D180,Population!$B$5:$AA$175,24,FALSE),0)</f>
        <v>5234</v>
      </c>
      <c r="AB180" s="178">
        <f>IFERROR(VLOOKUP($D180,Population!$B$5:$AA$175,25,FALSE),0)</f>
        <v>6084</v>
      </c>
      <c r="AC180" s="178">
        <f>IFERROR(VLOOKUP($D180,Population!$B$5:$AA$175,26,FALSE),0)</f>
        <v>7884.2929478409696</v>
      </c>
    </row>
    <row r="181" spans="1:29" x14ac:dyDescent="0.2">
      <c r="A181" s="1" t="s">
        <v>604</v>
      </c>
      <c r="B181" s="1" t="s">
        <v>664</v>
      </c>
      <c r="C181" s="1" t="s">
        <v>665</v>
      </c>
      <c r="D181" s="1">
        <v>7119</v>
      </c>
      <c r="E181" s="1">
        <v>2024</v>
      </c>
      <c r="F181" s="175">
        <f>VLOOKUP($D181,'2024Data to Complete Appendix C'!$C$8:$Q$313,2,FALSE)</f>
        <v>41756</v>
      </c>
      <c r="G181" s="175">
        <f>VLOOKUP($D181,'2024Data to Complete Appendix C'!$C$8:$Q$313,3,FALSE)</f>
        <v>16174</v>
      </c>
      <c r="H181" s="175">
        <f>VLOOKUP($D181,'2024Data to Complete Appendix C'!$C$8:$Q$313,4,FALSE)</f>
        <v>171</v>
      </c>
      <c r="I181" s="175">
        <f>VLOOKUP($D181,'2024Data to Complete Appendix C'!$C$8:$Q$313,5,FALSE)</f>
        <v>18202</v>
      </c>
      <c r="J181" s="176">
        <f>VLOOKUP($D181,'2024Data to Complete Appendix C'!$C$8:$Q$313,6,FALSE)</f>
        <v>2.5816699999999999</v>
      </c>
      <c r="K181" s="176">
        <f>VLOOKUP($D181,'2024Data to Complete Appendix C'!$C$8:$Q$313,7,FALSE)</f>
        <v>1.95</v>
      </c>
      <c r="L181" s="176">
        <f>VLOOKUP($D181,'2024Data to Complete Appendix C'!$C$8:$Q$313,8,FALSE)</f>
        <v>1.0656000000000001</v>
      </c>
      <c r="M181" s="175">
        <f>VLOOKUP($D181,'2024Data to Complete Appendix C'!$C$8:$Q$313,9,FALSE)</f>
        <v>1404.76</v>
      </c>
      <c r="N181" s="176">
        <f>VLOOKUP($D181,'2024Data to Complete Appendix C'!$C$8:$Q$313,10,FALSE)</f>
        <v>7.9912200000000003E-2</v>
      </c>
      <c r="O181" s="177">
        <f>VLOOKUP($D181,'2024Data to Complete Appendix C'!$C$8:$Q$313,11,FALSE)</f>
        <v>0.56699999999999995</v>
      </c>
      <c r="P181" s="177">
        <f>VLOOKUP($D181,'2024Data to Complete Appendix C'!$C$8:$Q$313,12,FALSE)</f>
        <v>0.77268000000000003</v>
      </c>
      <c r="Q181" s="177">
        <f>VLOOKUP($D181,'2024Data to Complete Appendix C'!$C$8:$Q$313,13,FALSE)</f>
        <v>0.62213407799999998</v>
      </c>
      <c r="R181" s="176">
        <f>VLOOKUP($D181,'2024Data to Complete Appendix C'!$C$8:$Q$313,14,FALSE)</f>
        <v>2.2999999999999998</v>
      </c>
      <c r="S181" s="177">
        <f>VLOOKUP($D181,'2024Data to Complete Appendix C'!$C$8:$Q$313,15,FALSE)</f>
        <v>-0.205794</v>
      </c>
      <c r="T181" s="175">
        <f>IFERROR(VLOOKUP($D181,'2024_Lodging_by_WUP'!$A:$D,4,FALSE),0)</f>
        <v>101</v>
      </c>
      <c r="U181" s="175">
        <f t="shared" si="3"/>
        <v>144.52174631939999</v>
      </c>
      <c r="V181" s="178">
        <f>IFERROR(VLOOKUP($D181,Total_DU!$B$5:$AB$171,24,0),0)</f>
        <v>12085</v>
      </c>
      <c r="W181" s="178">
        <f>IFERROR(VLOOKUP($D181,Total_DU!$B$5:$AB$174,25,0),0)</f>
        <v>12631</v>
      </c>
      <c r="X181" s="178">
        <f>IFERROR(VLOOKUP($D181,Total_DU!$B$5:$AB$174,26,0),0)</f>
        <v>13305</v>
      </c>
      <c r="Y181" s="178">
        <f>IFERROR(VLOOKUP($D181,Total_DU!$B$5:$AB$174,27,0),0)</f>
        <v>14574</v>
      </c>
      <c r="Z181" s="178">
        <f>IFERROR(VLOOKUP($D181,Population!$B$5:$AA$175,23,FALSE),0)</f>
        <v>31922.671760937868</v>
      </c>
      <c r="AA181" s="178">
        <f>IFERROR(VLOOKUP($D181,Population!$B$5:$AA$175,24,FALSE),0)</f>
        <v>33324</v>
      </c>
      <c r="AB181" s="178">
        <f>IFERROR(VLOOKUP($D181,Population!$B$5:$AA$175,25,FALSE),0)</f>
        <v>35138</v>
      </c>
      <c r="AC181" s="178">
        <f>IFERROR(VLOOKUP($D181,Population!$B$5:$AA$175,26,FALSE),0)</f>
        <v>36661.757658261384</v>
      </c>
    </row>
    <row r="182" spans="1:29" x14ac:dyDescent="0.2">
      <c r="A182" s="1" t="s">
        <v>604</v>
      </c>
      <c r="B182" s="1" t="s">
        <v>666</v>
      </c>
      <c r="C182" s="1" t="s">
        <v>667</v>
      </c>
      <c r="D182" s="1">
        <v>7172</v>
      </c>
      <c r="E182" s="1">
        <v>2024</v>
      </c>
      <c r="F182" s="175">
        <f>VLOOKUP($D182,'2024Data to Complete Appendix C'!$C$8:$Q$313,2,FALSE)</f>
        <v>282</v>
      </c>
      <c r="G182" s="175">
        <f>VLOOKUP($D182,'2024Data to Complete Appendix C'!$C$8:$Q$313,3,FALSE)</f>
        <v>92</v>
      </c>
      <c r="H182" s="175">
        <f>VLOOKUP($D182,'2024Data to Complete Appendix C'!$C$8:$Q$313,4,FALSE)</f>
        <v>0</v>
      </c>
      <c r="I182" s="175">
        <f>VLOOKUP($D182,'2024Data to Complete Appendix C'!$C$8:$Q$313,5,FALSE)</f>
        <v>98</v>
      </c>
      <c r="J182" s="176">
        <f>VLOOKUP($D182,'2024Data to Complete Appendix C'!$C$8:$Q$313,6,FALSE)</f>
        <v>3.0652200000000001</v>
      </c>
      <c r="K182" s="176">
        <f>VLOOKUP($D182,'2024Data to Complete Appendix C'!$C$8:$Q$313,7,FALSE)</f>
        <v>1.95</v>
      </c>
      <c r="L182" s="176">
        <f>VLOOKUP($D182,'2024Data to Complete Appendix C'!$C$8:$Q$313,8,FALSE)</f>
        <v>1.0781400000000001</v>
      </c>
      <c r="M182" s="175">
        <f>VLOOKUP($D182,'2024Data to Complete Appendix C'!$C$8:$Q$313,9,FALSE)</f>
        <v>11.3005</v>
      </c>
      <c r="N182" s="176">
        <f>VLOOKUP($D182,'2024Data to Complete Appendix C'!$C$8:$Q$313,10,FALSE)</f>
        <v>0.10939400000000001</v>
      </c>
      <c r="O182" s="177">
        <f>VLOOKUP($D182,'2024Data to Complete Appendix C'!$C$8:$Q$313,11,FALSE)</f>
        <v>0.56699999999999995</v>
      </c>
      <c r="P182" s="177">
        <f>VLOOKUP($D182,'2024Data to Complete Appendix C'!$C$8:$Q$313,12,FALSE)</f>
        <v>0.77268000000000003</v>
      </c>
      <c r="Q182" s="177">
        <f>VLOOKUP($D182,'2024Data to Complete Appendix C'!$C$8:$Q$313,13,FALSE)</f>
        <v>0.62213407799999998</v>
      </c>
      <c r="R182" s="176">
        <f>VLOOKUP($D182,'2024Data to Complete Appendix C'!$C$8:$Q$313,14,FALSE)</f>
        <v>2.2999999999999998</v>
      </c>
      <c r="S182" s="177">
        <f>VLOOKUP($D182,'2024Data to Complete Appendix C'!$C$8:$Q$313,15,FALSE)</f>
        <v>-0.45604800000000001</v>
      </c>
      <c r="T182" s="175">
        <f>IFERROR(VLOOKUP($D182,'2024_Lodging_by_WUP'!$A:$D,4,FALSE),0)</f>
        <v>0</v>
      </c>
      <c r="U182" s="175">
        <f t="shared" si="3"/>
        <v>0</v>
      </c>
      <c r="V182" s="178">
        <f>IFERROR(VLOOKUP($D182,Total_DU!$B$5:$AB$171,24,0),0)</f>
        <v>0</v>
      </c>
      <c r="W182" s="178">
        <f>IFERROR(VLOOKUP($D182,Total_DU!$B$5:$AB$174,25,0),0)</f>
        <v>0</v>
      </c>
      <c r="X182" s="178">
        <f>IFERROR(VLOOKUP($D182,Total_DU!$B$5:$AB$174,26,0),0)</f>
        <v>0</v>
      </c>
      <c r="Y182" s="178">
        <f>IFERROR(VLOOKUP($D182,Total_DU!$B$5:$AB$174,27,0),0)</f>
        <v>0</v>
      </c>
      <c r="Z182" s="178">
        <f>IFERROR(VLOOKUP($D182,Population!$B$5:$AA$175,23,FALSE),0)</f>
        <v>0</v>
      </c>
      <c r="AA182" s="178">
        <f>IFERROR(VLOOKUP($D182,Population!$B$5:$AA$175,24,FALSE),0)</f>
        <v>0</v>
      </c>
      <c r="AB182" s="178">
        <f>IFERROR(VLOOKUP($D182,Population!$B$5:$AA$175,25,FALSE),0)</f>
        <v>0</v>
      </c>
      <c r="AC182" s="178">
        <f>IFERROR(VLOOKUP($D182,Population!$B$5:$AA$175,26,FALSE),0)</f>
        <v>0</v>
      </c>
    </row>
    <row r="183" spans="1:29" x14ac:dyDescent="0.2">
      <c r="A183" s="1" t="s">
        <v>604</v>
      </c>
      <c r="B183" s="1" t="s">
        <v>668</v>
      </c>
      <c r="C183" s="1" t="s">
        <v>669</v>
      </c>
      <c r="D183" s="1">
        <v>7187</v>
      </c>
      <c r="E183" s="1">
        <v>2024</v>
      </c>
      <c r="F183" s="175">
        <f>VLOOKUP($D183,'2024Data to Complete Appendix C'!$C$8:$Q$313,2,FALSE)</f>
        <v>1608</v>
      </c>
      <c r="G183" s="175">
        <f>VLOOKUP($D183,'2024Data to Complete Appendix C'!$C$8:$Q$313,3,FALSE)</f>
        <v>990</v>
      </c>
      <c r="H183" s="175">
        <f>VLOOKUP($D183,'2024Data to Complete Appendix C'!$C$8:$Q$313,4,FALSE)</f>
        <v>0</v>
      </c>
      <c r="I183" s="175">
        <f>VLOOKUP($D183,'2024Data to Complete Appendix C'!$C$8:$Q$313,5,FALSE)</f>
        <v>1299</v>
      </c>
      <c r="J183" s="176">
        <f>VLOOKUP($D183,'2024Data to Complete Appendix C'!$C$8:$Q$313,6,FALSE)</f>
        <v>1.6242399999999999</v>
      </c>
      <c r="K183" s="176">
        <f>VLOOKUP($D183,'2024Data to Complete Appendix C'!$C$8:$Q$313,7,FALSE)</f>
        <v>1.95</v>
      </c>
      <c r="L183" s="176">
        <f>VLOOKUP($D183,'2024Data to Complete Appendix C'!$C$8:$Q$313,8,FALSE)</f>
        <v>1.1109800000000001</v>
      </c>
      <c r="M183" s="175">
        <f>VLOOKUP($D183,'2024Data to Complete Appendix C'!$C$8:$Q$313,9,FALSE)</f>
        <v>91.518699999999995</v>
      </c>
      <c r="N183" s="176">
        <f>VLOOKUP($D183,'2024Data to Complete Appendix C'!$C$8:$Q$313,10,FALSE)</f>
        <v>8.4620500000000001E-2</v>
      </c>
      <c r="O183" s="177">
        <f>VLOOKUP($D183,'2024Data to Complete Appendix C'!$C$8:$Q$313,11,FALSE)</f>
        <v>0.56699999999999995</v>
      </c>
      <c r="P183" s="177">
        <f>VLOOKUP($D183,'2024Data to Complete Appendix C'!$C$8:$Q$313,12,FALSE)</f>
        <v>0.77268000000000003</v>
      </c>
      <c r="Q183" s="177">
        <f>VLOOKUP($D183,'2024Data to Complete Appendix C'!$C$8:$Q$313,13,FALSE)</f>
        <v>0.62213407799999998</v>
      </c>
      <c r="R183" s="176">
        <f>VLOOKUP($D183,'2024Data to Complete Appendix C'!$C$8:$Q$313,14,FALSE)</f>
        <v>2.2999999999999998</v>
      </c>
      <c r="S183" s="177">
        <f>VLOOKUP($D183,'2024Data to Complete Appendix C'!$C$8:$Q$313,15,FALSE)</f>
        <v>-0.13492999999999999</v>
      </c>
      <c r="T183" s="175">
        <f>IFERROR(VLOOKUP($D183,'2024_Lodging_by_WUP'!$A:$D,4,FALSE),0)</f>
        <v>0</v>
      </c>
      <c r="U183" s="175">
        <f t="shared" si="3"/>
        <v>0</v>
      </c>
      <c r="V183" s="178">
        <f>IFERROR(VLOOKUP($D183,Total_DU!$B$5:$AB$171,24,0),0)</f>
        <v>869</v>
      </c>
      <c r="W183" s="178">
        <f>IFERROR(VLOOKUP($D183,Total_DU!$B$5:$AB$174,25,0),0)</f>
        <v>869</v>
      </c>
      <c r="X183" s="178">
        <f>IFERROR(VLOOKUP($D183,Total_DU!$B$5:$AB$174,26,0),0)</f>
        <v>869</v>
      </c>
      <c r="Y183" s="178">
        <f>IFERROR(VLOOKUP($D183,Total_DU!$B$5:$AB$174,27,0),0)</f>
        <v>869</v>
      </c>
      <c r="Z183" s="178">
        <f>IFERROR(VLOOKUP($D183,Population!$B$5:$AA$175,23,FALSE),0)</f>
        <v>1481.8371612722822</v>
      </c>
      <c r="AA183" s="178">
        <f>IFERROR(VLOOKUP($D183,Population!$B$5:$AA$175,24,FALSE),0)</f>
        <v>1482</v>
      </c>
      <c r="AB183" s="178">
        <f>IFERROR(VLOOKUP($D183,Population!$B$5:$AA$175,25,FALSE),0)</f>
        <v>1482</v>
      </c>
      <c r="AC183" s="178">
        <f>IFERROR(VLOOKUP($D183,Population!$B$5:$AA$175,26,FALSE),0)</f>
        <v>1402.8243542343857</v>
      </c>
    </row>
    <row r="184" spans="1:29" x14ac:dyDescent="0.2">
      <c r="A184" s="1" t="s">
        <v>604</v>
      </c>
      <c r="B184" s="1" t="s">
        <v>670</v>
      </c>
      <c r="C184" s="1" t="s">
        <v>671</v>
      </c>
      <c r="D184" s="1">
        <v>7328</v>
      </c>
      <c r="E184" s="1">
        <v>2024</v>
      </c>
      <c r="F184" s="175">
        <f>VLOOKUP($D184,'2024Data to Complete Appendix C'!$C$8:$Q$313,2,FALSE)</f>
        <v>2381</v>
      </c>
      <c r="G184" s="175">
        <f>VLOOKUP($D184,'2024Data to Complete Appendix C'!$C$8:$Q$313,3,FALSE)</f>
        <v>1188</v>
      </c>
      <c r="H184" s="175">
        <f>VLOOKUP($D184,'2024Data to Complete Appendix C'!$C$8:$Q$313,4,FALSE)</f>
        <v>0</v>
      </c>
      <c r="I184" s="175">
        <f>VLOOKUP($D184,'2024Data to Complete Appendix C'!$C$8:$Q$313,5,FALSE)</f>
        <v>1531</v>
      </c>
      <c r="J184" s="176">
        <f>VLOOKUP($D184,'2024Data to Complete Appendix C'!$C$8:$Q$313,6,FALSE)</f>
        <v>2.00421</v>
      </c>
      <c r="K184" s="176">
        <f>VLOOKUP($D184,'2024Data to Complete Appendix C'!$C$8:$Q$313,7,FALSE)</f>
        <v>1.95</v>
      </c>
      <c r="L184" s="176">
        <f>VLOOKUP($D184,'2024Data to Complete Appendix C'!$C$8:$Q$313,8,FALSE)</f>
        <v>1.05332</v>
      </c>
      <c r="M184" s="175">
        <f>VLOOKUP($D184,'2024Data to Complete Appendix C'!$C$8:$Q$313,9,FALSE)</f>
        <v>65.106899999999996</v>
      </c>
      <c r="N184" s="176">
        <f>VLOOKUP($D184,'2024Data to Complete Appendix C'!$C$8:$Q$313,10,FALSE)</f>
        <v>5.19564E-2</v>
      </c>
      <c r="O184" s="177">
        <f>VLOOKUP($D184,'2024Data to Complete Appendix C'!$C$8:$Q$313,11,FALSE)</f>
        <v>0.56699999999999995</v>
      </c>
      <c r="P184" s="177">
        <f>VLOOKUP($D184,'2024Data to Complete Appendix C'!$C$8:$Q$313,12,FALSE)</f>
        <v>0.77268000000000003</v>
      </c>
      <c r="Q184" s="177">
        <f>VLOOKUP($D184,'2024Data to Complete Appendix C'!$C$8:$Q$313,13,FALSE)</f>
        <v>0.62213407799999998</v>
      </c>
      <c r="R184" s="176">
        <f>VLOOKUP($D184,'2024Data to Complete Appendix C'!$C$8:$Q$313,14,FALSE)</f>
        <v>2.2999999999999998</v>
      </c>
      <c r="S184" s="177">
        <f>VLOOKUP($D184,'2024Data to Complete Appendix C'!$C$8:$Q$313,15,FALSE)</f>
        <v>-3.0849499999999998E-2</v>
      </c>
      <c r="T184" s="175">
        <f>IFERROR(VLOOKUP($D184,'2024_Lodging_by_WUP'!$A:$D,4,FALSE),0)</f>
        <v>1</v>
      </c>
      <c r="U184" s="175">
        <f t="shared" si="3"/>
        <v>1.4309083793999999</v>
      </c>
      <c r="V184" s="178">
        <f>IFERROR(VLOOKUP($D184,Total_DU!$B$5:$AB$171,24,0),0)</f>
        <v>500</v>
      </c>
      <c r="W184" s="178">
        <f>IFERROR(VLOOKUP($D184,Total_DU!$B$5:$AB$174,25,0),0)</f>
        <v>500</v>
      </c>
      <c r="X184" s="178">
        <f>IFERROR(VLOOKUP($D184,Total_DU!$B$5:$AB$174,26,0),0)</f>
        <v>500</v>
      </c>
      <c r="Y184" s="178">
        <f>IFERROR(VLOOKUP($D184,Total_DU!$B$5:$AB$174,27,0),0)</f>
        <v>500</v>
      </c>
      <c r="Z184" s="178">
        <f>IFERROR(VLOOKUP($D184,Population!$B$5:$AA$175,23,FALSE),0)</f>
        <v>980.47289394425525</v>
      </c>
      <c r="AA184" s="178">
        <f>IFERROR(VLOOKUP($D184,Population!$B$5:$AA$175,24,FALSE),0)</f>
        <v>980</v>
      </c>
      <c r="AB184" s="178">
        <f>IFERROR(VLOOKUP($D184,Population!$B$5:$AA$175,25,FALSE),0)</f>
        <v>980</v>
      </c>
      <c r="AC184" s="178">
        <f>IFERROR(VLOOKUP($D184,Population!$B$5:$AA$175,26,FALSE),0)</f>
        <v>990.68001733154131</v>
      </c>
    </row>
    <row r="185" spans="1:29" x14ac:dyDescent="0.2">
      <c r="A185" s="1" t="s">
        <v>604</v>
      </c>
      <c r="B185" s="1" t="s">
        <v>672</v>
      </c>
      <c r="C185" s="1" t="s">
        <v>631</v>
      </c>
      <c r="D185" s="1">
        <v>7333</v>
      </c>
      <c r="E185" s="1">
        <v>2024</v>
      </c>
      <c r="F185" s="175">
        <f>VLOOKUP($D185,'2024Data to Complete Appendix C'!$C$8:$Q$313,2,FALSE)</f>
        <v>1037</v>
      </c>
      <c r="G185" s="175">
        <f>VLOOKUP($D185,'2024Data to Complete Appendix C'!$C$8:$Q$313,3,FALSE)</f>
        <v>339</v>
      </c>
      <c r="H185" s="175">
        <f>VLOOKUP($D185,'2024Data to Complete Appendix C'!$C$8:$Q$313,4,FALSE)</f>
        <v>0</v>
      </c>
      <c r="I185" s="175">
        <f>VLOOKUP($D185,'2024Data to Complete Appendix C'!$C$8:$Q$313,5,FALSE)</f>
        <v>409</v>
      </c>
      <c r="J185" s="176">
        <f>VLOOKUP($D185,'2024Data to Complete Appendix C'!$C$8:$Q$313,6,FALSE)</f>
        <v>3.0590000000000002</v>
      </c>
      <c r="K185" s="176">
        <f>VLOOKUP($D185,'2024Data to Complete Appendix C'!$C$8:$Q$313,7,FALSE)</f>
        <v>1.95</v>
      </c>
      <c r="L185" s="176">
        <f>VLOOKUP($D185,'2024Data to Complete Appendix C'!$C$8:$Q$313,8,FALSE)</f>
        <v>1.0415300000000001</v>
      </c>
      <c r="M185" s="175">
        <f>VLOOKUP($D185,'2024Data to Complete Appendix C'!$C$8:$Q$313,9,FALSE)</f>
        <v>22.083200000000001</v>
      </c>
      <c r="N185" s="176">
        <f>VLOOKUP($D185,'2024Data to Complete Appendix C'!$C$8:$Q$313,10,FALSE)</f>
        <v>6.1158299999999999E-2</v>
      </c>
      <c r="O185" s="177">
        <f>VLOOKUP($D185,'2024Data to Complete Appendix C'!$C$8:$Q$313,11,FALSE)</f>
        <v>0.56699999999999995</v>
      </c>
      <c r="P185" s="177">
        <f>VLOOKUP($D185,'2024Data to Complete Appendix C'!$C$8:$Q$313,12,FALSE)</f>
        <v>0.77268000000000003</v>
      </c>
      <c r="Q185" s="177">
        <f>VLOOKUP($D185,'2024Data to Complete Appendix C'!$C$8:$Q$313,13,FALSE)</f>
        <v>0.62213407799999998</v>
      </c>
      <c r="R185" s="176">
        <f>VLOOKUP($D185,'2024Data to Complete Appendix C'!$C$8:$Q$313,14,FALSE)</f>
        <v>2.2999999999999998</v>
      </c>
      <c r="S185" s="177">
        <f>VLOOKUP($D185,'2024Data to Complete Appendix C'!$C$8:$Q$313,15,FALSE)</f>
        <v>-0.65917300000000001</v>
      </c>
      <c r="T185" s="175">
        <f>IFERROR(VLOOKUP($D185,'2024_Lodging_by_WUP'!$A:$D,4,FALSE),0)</f>
        <v>0</v>
      </c>
      <c r="U185" s="175">
        <f t="shared" si="3"/>
        <v>0</v>
      </c>
      <c r="V185" s="178">
        <f>IFERROR(VLOOKUP($D185,Total_DU!$B$5:$AB$171,24,0),0)</f>
        <v>0</v>
      </c>
      <c r="W185" s="178">
        <f>IFERROR(VLOOKUP($D185,Total_DU!$B$5:$AB$174,25,0),0)</f>
        <v>0</v>
      </c>
      <c r="X185" s="178">
        <f>IFERROR(VLOOKUP($D185,Total_DU!$B$5:$AB$174,26,0),0)</f>
        <v>0</v>
      </c>
      <c r="Y185" s="178">
        <f>IFERROR(VLOOKUP($D185,Total_DU!$B$5:$AB$174,27,0),0)</f>
        <v>0</v>
      </c>
      <c r="Z185" s="178">
        <f>IFERROR(VLOOKUP($D185,Population!$B$5:$AA$175,23,FALSE),0)</f>
        <v>0</v>
      </c>
      <c r="AA185" s="178">
        <f>IFERROR(VLOOKUP($D185,Population!$B$5:$AA$175,24,FALSE),0)</f>
        <v>0</v>
      </c>
      <c r="AB185" s="178">
        <f>IFERROR(VLOOKUP($D185,Population!$B$5:$AA$175,25,FALSE),0)</f>
        <v>0</v>
      </c>
      <c r="AC185" s="178">
        <f>IFERROR(VLOOKUP($D185,Population!$B$5:$AA$175,26,FALSE),0)</f>
        <v>0</v>
      </c>
    </row>
    <row r="186" spans="1:29" x14ac:dyDescent="0.2">
      <c r="A186" s="1" t="s">
        <v>604</v>
      </c>
      <c r="B186" s="1" t="s">
        <v>673</v>
      </c>
      <c r="C186" s="1" t="s">
        <v>674</v>
      </c>
      <c r="D186" s="1">
        <v>7557</v>
      </c>
      <c r="E186" s="1">
        <v>2024</v>
      </c>
      <c r="F186" s="175">
        <f>VLOOKUP($D186,'2024Data to Complete Appendix C'!$C$8:$Q$313,2,FALSE)</f>
        <v>640</v>
      </c>
      <c r="G186" s="175">
        <f>VLOOKUP($D186,'2024Data to Complete Appendix C'!$C$8:$Q$313,3,FALSE)</f>
        <v>334</v>
      </c>
      <c r="H186" s="175">
        <f>VLOOKUP($D186,'2024Data to Complete Appendix C'!$C$8:$Q$313,4,FALSE)</f>
        <v>0</v>
      </c>
      <c r="I186" s="175">
        <f>VLOOKUP($D186,'2024Data to Complete Appendix C'!$C$8:$Q$313,5,FALSE)</f>
        <v>629</v>
      </c>
      <c r="J186" s="176">
        <f>VLOOKUP($D186,'2024Data to Complete Appendix C'!$C$8:$Q$313,6,FALSE)</f>
        <v>1.9161699999999999</v>
      </c>
      <c r="K186" s="176">
        <f>VLOOKUP($D186,'2024Data to Complete Appendix C'!$C$8:$Q$313,7,FALSE)</f>
        <v>1.95</v>
      </c>
      <c r="L186" s="176">
        <f>VLOOKUP($D186,'2024Data to Complete Appendix C'!$C$8:$Q$313,8,FALSE)</f>
        <v>1.19787</v>
      </c>
      <c r="M186" s="175">
        <f>VLOOKUP($D186,'2024Data to Complete Appendix C'!$C$8:$Q$313,9,FALSE)</f>
        <v>64.941800000000001</v>
      </c>
      <c r="N186" s="176">
        <f>VLOOKUP($D186,'2024Data to Complete Appendix C'!$C$8:$Q$313,10,FALSE)</f>
        <v>0.16278500000000001</v>
      </c>
      <c r="O186" s="177">
        <f>VLOOKUP($D186,'2024Data to Complete Appendix C'!$C$8:$Q$313,11,FALSE)</f>
        <v>0.56699999999999995</v>
      </c>
      <c r="P186" s="177">
        <f>VLOOKUP($D186,'2024Data to Complete Appendix C'!$C$8:$Q$313,12,FALSE)</f>
        <v>0.77268000000000003</v>
      </c>
      <c r="Q186" s="177">
        <f>VLOOKUP($D186,'2024Data to Complete Appendix C'!$C$8:$Q$313,13,FALSE)</f>
        <v>0.62213407799999998</v>
      </c>
      <c r="R186" s="176">
        <f>VLOOKUP($D186,'2024Data to Complete Appendix C'!$C$8:$Q$313,14,FALSE)</f>
        <v>2.2999999999999998</v>
      </c>
      <c r="S186" s="177">
        <f>VLOOKUP($D186,'2024Data to Complete Appendix C'!$C$8:$Q$313,15,FALSE)</f>
        <v>-0.12878300000000001</v>
      </c>
      <c r="T186" s="175">
        <f>IFERROR(VLOOKUP($D186,'2024_Lodging_by_WUP'!$A:$D,4,FALSE),0)</f>
        <v>0</v>
      </c>
      <c r="U186" s="175">
        <f t="shared" si="3"/>
        <v>0</v>
      </c>
      <c r="V186" s="178">
        <f>IFERROR(VLOOKUP($D186,Total_DU!$B$5:$AB$171,24,0),0)</f>
        <v>0</v>
      </c>
      <c r="W186" s="178">
        <f>IFERROR(VLOOKUP($D186,Total_DU!$B$5:$AB$174,25,0),0)</f>
        <v>0</v>
      </c>
      <c r="X186" s="178">
        <f>IFERROR(VLOOKUP($D186,Total_DU!$B$5:$AB$174,26,0),0)</f>
        <v>0</v>
      </c>
      <c r="Y186" s="178">
        <f>IFERROR(VLOOKUP($D186,Total_DU!$B$5:$AB$174,27,0),0)</f>
        <v>0</v>
      </c>
      <c r="Z186" s="178">
        <f>IFERROR(VLOOKUP($D186,Population!$B$5:$AA$175,23,FALSE),0)</f>
        <v>0</v>
      </c>
      <c r="AA186" s="178">
        <f>IFERROR(VLOOKUP($D186,Population!$B$5:$AA$175,24,FALSE),0)</f>
        <v>0</v>
      </c>
      <c r="AB186" s="178">
        <f>IFERROR(VLOOKUP($D186,Population!$B$5:$AA$175,25,FALSE),0)</f>
        <v>0</v>
      </c>
      <c r="AC186" s="178">
        <f>IFERROR(VLOOKUP($D186,Population!$B$5:$AA$175,26,FALSE),0)</f>
        <v>0</v>
      </c>
    </row>
    <row r="187" spans="1:29" x14ac:dyDescent="0.2">
      <c r="A187" s="1" t="s">
        <v>604</v>
      </c>
      <c r="B187" s="1" t="s">
        <v>675</v>
      </c>
      <c r="C187" s="1" t="s">
        <v>523</v>
      </c>
      <c r="D187" s="1">
        <v>7653</v>
      </c>
      <c r="E187" s="1">
        <v>2024</v>
      </c>
      <c r="F187" s="175">
        <f>VLOOKUP($D187,'2024Data to Complete Appendix C'!$C$8:$Q$313,2,FALSE)</f>
        <v>1397</v>
      </c>
      <c r="G187" s="175">
        <f>VLOOKUP($D187,'2024Data to Complete Appendix C'!$C$8:$Q$313,3,FALSE)</f>
        <v>524</v>
      </c>
      <c r="H187" s="175">
        <f>VLOOKUP($D187,'2024Data to Complete Appendix C'!$C$8:$Q$313,4,FALSE)</f>
        <v>0</v>
      </c>
      <c r="I187" s="175">
        <f>VLOOKUP($D187,'2024Data to Complete Appendix C'!$C$8:$Q$313,5,FALSE)</f>
        <v>562</v>
      </c>
      <c r="J187" s="176">
        <f>VLOOKUP($D187,'2024Data to Complete Appendix C'!$C$8:$Q$313,6,FALSE)</f>
        <v>2.6660300000000001</v>
      </c>
      <c r="K187" s="176">
        <f>VLOOKUP($D187,'2024Data to Complete Appendix C'!$C$8:$Q$313,7,FALSE)</f>
        <v>1.95</v>
      </c>
      <c r="L187" s="176">
        <f>VLOOKUP($D187,'2024Data to Complete Appendix C'!$C$8:$Q$313,8,FALSE)</f>
        <v>1.0206500000000001</v>
      </c>
      <c r="M187" s="175">
        <f>VLOOKUP($D187,'2024Data to Complete Appendix C'!$C$8:$Q$313,9,FALSE)</f>
        <v>14.7911</v>
      </c>
      <c r="N187" s="176">
        <f>VLOOKUP($D187,'2024Data to Complete Appendix C'!$C$8:$Q$313,10,FALSE)</f>
        <v>2.7452299999999999E-2</v>
      </c>
      <c r="O187" s="177">
        <f>VLOOKUP($D187,'2024Data to Complete Appendix C'!$C$8:$Q$313,11,FALSE)</f>
        <v>0.56699999999999995</v>
      </c>
      <c r="P187" s="177">
        <f>VLOOKUP($D187,'2024Data to Complete Appendix C'!$C$8:$Q$313,12,FALSE)</f>
        <v>0.77268000000000003</v>
      </c>
      <c r="Q187" s="177">
        <f>VLOOKUP($D187,'2024Data to Complete Appendix C'!$C$8:$Q$313,13,FALSE)</f>
        <v>0.62213407799999998</v>
      </c>
      <c r="R187" s="176">
        <f>VLOOKUP($D187,'2024Data to Complete Appendix C'!$C$8:$Q$313,14,FALSE)</f>
        <v>2.2999999999999998</v>
      </c>
      <c r="S187" s="177">
        <f>VLOOKUP($D187,'2024Data to Complete Appendix C'!$C$8:$Q$313,15,FALSE)</f>
        <v>-0.45805499999999999</v>
      </c>
      <c r="T187" s="175">
        <f>IFERROR(VLOOKUP($D187,'2024_Lodging_by_WUP'!$A:$D,4,FALSE),0)</f>
        <v>0</v>
      </c>
      <c r="U187" s="175">
        <f t="shared" si="3"/>
        <v>0</v>
      </c>
      <c r="V187" s="178">
        <f>IFERROR(VLOOKUP($D187,Total_DU!$B$5:$AB$171,24,0),0)</f>
        <v>0</v>
      </c>
      <c r="W187" s="178">
        <f>IFERROR(VLOOKUP($D187,Total_DU!$B$5:$AB$174,25,0),0)</f>
        <v>0</v>
      </c>
      <c r="X187" s="178">
        <f>IFERROR(VLOOKUP($D187,Total_DU!$B$5:$AB$174,26,0),0)</f>
        <v>0</v>
      </c>
      <c r="Y187" s="178">
        <f>IFERROR(VLOOKUP($D187,Total_DU!$B$5:$AB$174,27,0),0)</f>
        <v>0</v>
      </c>
      <c r="Z187" s="178">
        <f>IFERROR(VLOOKUP($D187,Population!$B$5:$AA$175,23,FALSE),0)</f>
        <v>0</v>
      </c>
      <c r="AA187" s="178">
        <f>IFERROR(VLOOKUP($D187,Population!$B$5:$AA$175,24,FALSE),0)</f>
        <v>0</v>
      </c>
      <c r="AB187" s="178">
        <f>IFERROR(VLOOKUP($D187,Population!$B$5:$AA$175,25,FALSE),0)</f>
        <v>0</v>
      </c>
      <c r="AC187" s="178">
        <f>IFERROR(VLOOKUP($D187,Population!$B$5:$AA$175,26,FALSE),0)</f>
        <v>0</v>
      </c>
    </row>
    <row r="188" spans="1:29" x14ac:dyDescent="0.2">
      <c r="A188" s="1" t="s">
        <v>604</v>
      </c>
      <c r="B188" s="1" t="s">
        <v>676</v>
      </c>
      <c r="C188" s="1" t="s">
        <v>523</v>
      </c>
      <c r="D188" s="1">
        <v>7878</v>
      </c>
      <c r="E188" s="1">
        <v>2024</v>
      </c>
      <c r="F188" s="175">
        <f>VLOOKUP($D188,'2024Data to Complete Appendix C'!$C$8:$Q$313,2,FALSE)</f>
        <v>3509</v>
      </c>
      <c r="G188" s="175">
        <f>VLOOKUP($D188,'2024Data to Complete Appendix C'!$C$8:$Q$313,3,FALSE)</f>
        <v>1362</v>
      </c>
      <c r="H188" s="175">
        <f>VLOOKUP($D188,'2024Data to Complete Appendix C'!$C$8:$Q$313,4,FALSE)</f>
        <v>51</v>
      </c>
      <c r="I188" s="175">
        <f>VLOOKUP($D188,'2024Data to Complete Appendix C'!$C$8:$Q$313,5,FALSE)</f>
        <v>1424</v>
      </c>
      <c r="J188" s="176">
        <f>VLOOKUP($D188,'2024Data to Complete Appendix C'!$C$8:$Q$313,6,FALSE)</f>
        <v>2.5763600000000002</v>
      </c>
      <c r="K188" s="176">
        <f>VLOOKUP($D188,'2024Data to Complete Appendix C'!$C$8:$Q$313,7,FALSE)</f>
        <v>1.95</v>
      </c>
      <c r="L188" s="176">
        <f>VLOOKUP($D188,'2024Data to Complete Appendix C'!$C$8:$Q$313,8,FALSE)</f>
        <v>1.0644400000000001</v>
      </c>
      <c r="M188" s="175">
        <f>VLOOKUP($D188,'2024Data to Complete Appendix C'!$C$8:$Q$313,9,FALSE)</f>
        <v>115.958</v>
      </c>
      <c r="N188" s="176">
        <f>VLOOKUP($D188,'2024Data to Complete Appendix C'!$C$8:$Q$313,10,FALSE)</f>
        <v>7.8458200000000006E-2</v>
      </c>
      <c r="O188" s="177">
        <f>VLOOKUP($D188,'2024Data to Complete Appendix C'!$C$8:$Q$313,11,FALSE)</f>
        <v>0.56699999999999995</v>
      </c>
      <c r="P188" s="177">
        <f>VLOOKUP($D188,'2024Data to Complete Appendix C'!$C$8:$Q$313,12,FALSE)</f>
        <v>0.77268000000000003</v>
      </c>
      <c r="Q188" s="177">
        <f>VLOOKUP($D188,'2024Data to Complete Appendix C'!$C$8:$Q$313,13,FALSE)</f>
        <v>0.62213407799999998</v>
      </c>
      <c r="R188" s="176">
        <f>VLOOKUP($D188,'2024Data to Complete Appendix C'!$C$8:$Q$313,14,FALSE)</f>
        <v>2.2999999999999998</v>
      </c>
      <c r="S188" s="177">
        <f>VLOOKUP($D188,'2024Data to Complete Appendix C'!$C$8:$Q$313,15,FALSE)</f>
        <v>-0.43560700000000002</v>
      </c>
      <c r="T188" s="175">
        <f>IFERROR(VLOOKUP($D188,'2024_Lodging_by_WUP'!$A:$D,4,FALSE),0)</f>
        <v>0</v>
      </c>
      <c r="U188" s="175">
        <f t="shared" si="3"/>
        <v>0</v>
      </c>
      <c r="V188" s="178">
        <f>IFERROR(VLOOKUP($D188,Total_DU!$B$5:$AB$171,24,0),0)</f>
        <v>847</v>
      </c>
      <c r="W188" s="178">
        <f>IFERROR(VLOOKUP($D188,Total_DU!$B$5:$AB$174,25,0),0)</f>
        <v>857</v>
      </c>
      <c r="X188" s="178">
        <f>IFERROR(VLOOKUP($D188,Total_DU!$B$5:$AB$174,26,0),0)</f>
        <v>857</v>
      </c>
      <c r="Y188" s="178">
        <f>IFERROR(VLOOKUP($D188,Total_DU!$B$5:$AB$174,27,0),0)</f>
        <v>858</v>
      </c>
      <c r="Z188" s="178">
        <f>IFERROR(VLOOKUP($D188,Population!$B$5:$AA$175,23,FALSE),0)</f>
        <v>2253.0678275462892</v>
      </c>
      <c r="AA188" s="178">
        <f>IFERROR(VLOOKUP($D188,Population!$B$5:$AA$175,24,FALSE),0)</f>
        <v>2280</v>
      </c>
      <c r="AB188" s="178">
        <f>IFERROR(VLOOKUP($D188,Population!$B$5:$AA$175,25,FALSE),0)</f>
        <v>2280</v>
      </c>
      <c r="AC188" s="178">
        <f>IFERROR(VLOOKUP($D188,Population!$B$5:$AA$175,26,FALSE),0)</f>
        <v>2169.2391123905168</v>
      </c>
    </row>
    <row r="189" spans="1:29" x14ac:dyDescent="0.2">
      <c r="A189" s="1" t="s">
        <v>604</v>
      </c>
      <c r="B189" s="1" t="s">
        <v>677</v>
      </c>
      <c r="C189" s="1" t="s">
        <v>654</v>
      </c>
      <c r="D189" s="1">
        <v>8054</v>
      </c>
      <c r="E189" s="1">
        <v>2024</v>
      </c>
      <c r="F189" s="175">
        <f>VLOOKUP($D189,'2024Data to Complete Appendix C'!$C$8:$Q$313,2,FALSE)</f>
        <v>11915</v>
      </c>
      <c r="G189" s="175">
        <f>VLOOKUP($D189,'2024Data to Complete Appendix C'!$C$8:$Q$313,3,FALSE)</f>
        <v>4912</v>
      </c>
      <c r="H189" s="175">
        <f>VLOOKUP($D189,'2024Data to Complete Appendix C'!$C$8:$Q$313,4,FALSE)</f>
        <v>0</v>
      </c>
      <c r="I189" s="175">
        <f>VLOOKUP($D189,'2024Data to Complete Appendix C'!$C$8:$Q$313,5,FALSE)</f>
        <v>6140</v>
      </c>
      <c r="J189" s="176">
        <f>VLOOKUP($D189,'2024Data to Complete Appendix C'!$C$8:$Q$313,6,FALSE)</f>
        <v>2.4256899999999999</v>
      </c>
      <c r="K189" s="176">
        <f>VLOOKUP($D189,'2024Data to Complete Appendix C'!$C$8:$Q$313,7,FALSE)</f>
        <v>1.95</v>
      </c>
      <c r="L189" s="176">
        <f>VLOOKUP($D189,'2024Data to Complete Appendix C'!$C$8:$Q$313,8,FALSE)</f>
        <v>1</v>
      </c>
      <c r="M189" s="175">
        <f>VLOOKUP($D189,'2024Data to Complete Appendix C'!$C$8:$Q$313,9,FALSE)</f>
        <v>0</v>
      </c>
      <c r="N189" s="176">
        <f>VLOOKUP($D189,'2024Data to Complete Appendix C'!$C$8:$Q$313,10,FALSE)</f>
        <v>0</v>
      </c>
      <c r="O189" s="177">
        <f>VLOOKUP($D189,'2024Data to Complete Appendix C'!$C$8:$Q$313,11,FALSE)</f>
        <v>0.56699999999999995</v>
      </c>
      <c r="P189" s="177">
        <f>VLOOKUP($D189,'2024Data to Complete Appendix C'!$C$8:$Q$313,12,FALSE)</f>
        <v>0.77268000000000003</v>
      </c>
      <c r="Q189" s="177">
        <f>VLOOKUP($D189,'2024Data to Complete Appendix C'!$C$8:$Q$313,13,FALSE)</f>
        <v>0.62213407799999998</v>
      </c>
      <c r="R189" s="176">
        <f>VLOOKUP($D189,'2024Data to Complete Appendix C'!$C$8:$Q$313,14,FALSE)</f>
        <v>2.2999999999999998</v>
      </c>
      <c r="S189" s="177">
        <f>VLOOKUP($D189,'2024Data to Complete Appendix C'!$C$8:$Q$313,15,FALSE)</f>
        <v>-0.38777800000000001</v>
      </c>
      <c r="T189" s="175">
        <f>IFERROR(VLOOKUP($D189,'2024_Lodging_by_WUP'!$A:$D,4,FALSE),0)</f>
        <v>56</v>
      </c>
      <c r="U189" s="175">
        <f t="shared" ref="U189:U227" si="5">IF(T189&gt;0,T189*Q189*R189,0)</f>
        <v>80.130869246399982</v>
      </c>
      <c r="V189" s="178">
        <f>IFERROR(VLOOKUP($D189,Total_DU!$B$5:$AB$171,24,0),0)</f>
        <v>2541</v>
      </c>
      <c r="W189" s="178">
        <f>IFERROR(VLOOKUP($D189,Total_DU!$B$5:$AB$174,25,0),0)</f>
        <v>2559</v>
      </c>
      <c r="X189" s="178">
        <f>IFERROR(VLOOKUP($D189,Total_DU!$B$5:$AB$174,26,0),0)</f>
        <v>2583</v>
      </c>
      <c r="Y189" s="178">
        <f>IFERROR(VLOOKUP($D189,Total_DU!$B$5:$AB$174,27,0),0)</f>
        <v>2617</v>
      </c>
      <c r="Z189" s="178">
        <f>IFERROR(VLOOKUP($D189,Population!$B$5:$AA$175,23,FALSE),0)</f>
        <v>6650.9234185435644</v>
      </c>
      <c r="AA189" s="178">
        <f>IFERROR(VLOOKUP($D189,Population!$B$5:$AA$175,24,FALSE),0)</f>
        <v>6659</v>
      </c>
      <c r="AB189" s="178">
        <f>IFERROR(VLOOKUP($D189,Population!$B$5:$AA$175,25,FALSE),0)</f>
        <v>6685</v>
      </c>
      <c r="AC189" s="178">
        <f>IFERROR(VLOOKUP($D189,Population!$B$5:$AA$175,26,FALSE),0)</f>
        <v>6432.0140413680783</v>
      </c>
    </row>
    <row r="190" spans="1:29" x14ac:dyDescent="0.2">
      <c r="A190" s="1" t="s">
        <v>604</v>
      </c>
      <c r="B190" s="1" t="s">
        <v>678</v>
      </c>
      <c r="C190" s="1" t="s">
        <v>679</v>
      </c>
      <c r="D190" s="1">
        <v>8285</v>
      </c>
      <c r="E190" s="1">
        <v>2024</v>
      </c>
      <c r="F190" s="175">
        <f>VLOOKUP($D190,'2024Data to Complete Appendix C'!$C$8:$Q$313,2,FALSE)</f>
        <v>2267</v>
      </c>
      <c r="G190" s="175">
        <f>VLOOKUP($D190,'2024Data to Complete Appendix C'!$C$8:$Q$313,3,FALSE)</f>
        <v>890</v>
      </c>
      <c r="H190" s="175">
        <f>VLOOKUP($D190,'2024Data to Complete Appendix C'!$C$8:$Q$313,4,FALSE)</f>
        <v>0</v>
      </c>
      <c r="I190" s="175">
        <f>VLOOKUP($D190,'2024Data to Complete Appendix C'!$C$8:$Q$313,5,FALSE)</f>
        <v>1109</v>
      </c>
      <c r="J190" s="176">
        <f>VLOOKUP($D190,'2024Data to Complete Appendix C'!$C$8:$Q$313,6,FALSE)</f>
        <v>2.5471900000000001</v>
      </c>
      <c r="K190" s="176">
        <f>VLOOKUP($D190,'2024Data to Complete Appendix C'!$C$8:$Q$313,7,FALSE)</f>
        <v>1.95</v>
      </c>
      <c r="L190" s="176">
        <f>VLOOKUP($D190,'2024Data to Complete Appendix C'!$C$8:$Q$313,8,FALSE)</f>
        <v>1.0415300000000001</v>
      </c>
      <c r="M190" s="175">
        <f>VLOOKUP($D190,'2024Data to Complete Appendix C'!$C$8:$Q$313,9,FALSE)</f>
        <v>48.276499999999999</v>
      </c>
      <c r="N190" s="176">
        <f>VLOOKUP($D190,'2024Data to Complete Appendix C'!$C$8:$Q$313,10,FALSE)</f>
        <v>5.1452299999999999E-2</v>
      </c>
      <c r="O190" s="177">
        <f>VLOOKUP($D190,'2024Data to Complete Appendix C'!$C$8:$Q$313,11,FALSE)</f>
        <v>0.56699999999999995</v>
      </c>
      <c r="P190" s="177">
        <f>VLOOKUP($D190,'2024Data to Complete Appendix C'!$C$8:$Q$313,12,FALSE)</f>
        <v>0.77268000000000003</v>
      </c>
      <c r="Q190" s="177">
        <f>VLOOKUP($D190,'2024Data to Complete Appendix C'!$C$8:$Q$313,13,FALSE)</f>
        <v>0.62213407799999998</v>
      </c>
      <c r="R190" s="176">
        <f>VLOOKUP($D190,'2024Data to Complete Appendix C'!$C$8:$Q$313,14,FALSE)</f>
        <v>2.2999999999999998</v>
      </c>
      <c r="S190" s="177">
        <f>VLOOKUP($D190,'2024Data to Complete Appendix C'!$C$8:$Q$313,15,FALSE)</f>
        <v>-0.65917300000000001</v>
      </c>
      <c r="T190" s="175">
        <f>IFERROR(VLOOKUP($D190,'2024_Lodging_by_WUP'!$A:$D,4,FALSE),0)</f>
        <v>0</v>
      </c>
      <c r="U190" s="175">
        <f t="shared" si="5"/>
        <v>0</v>
      </c>
      <c r="V190" s="178">
        <f>IFERROR(VLOOKUP($D190,Total_DU!$B$5:$AB$171,24,0),0)</f>
        <v>0</v>
      </c>
      <c r="W190" s="178">
        <f>IFERROR(VLOOKUP($D190,Total_DU!$B$5:$AB$174,25,0),0)</f>
        <v>0</v>
      </c>
      <c r="X190" s="178">
        <f>IFERROR(VLOOKUP($D190,Total_DU!$B$5:$AB$174,26,0),0)</f>
        <v>0</v>
      </c>
      <c r="Y190" s="178">
        <f>IFERROR(VLOOKUP($D190,Total_DU!$B$5:$AB$174,27,0),0)</f>
        <v>0</v>
      </c>
      <c r="Z190" s="178">
        <f>IFERROR(VLOOKUP($D190,Population!$B$5:$AA$175,23,FALSE),0)</f>
        <v>0</v>
      </c>
      <c r="AA190" s="178">
        <f>IFERROR(VLOOKUP($D190,Population!$B$5:$AA$175,24,FALSE),0)</f>
        <v>0</v>
      </c>
      <c r="AB190" s="178">
        <f>IFERROR(VLOOKUP($D190,Population!$B$5:$AA$175,25,FALSE),0)</f>
        <v>0</v>
      </c>
      <c r="AC190" s="178">
        <f>IFERROR(VLOOKUP($D190,Population!$B$5:$AA$175,26,FALSE),0)</f>
        <v>0</v>
      </c>
    </row>
    <row r="191" spans="1:29" x14ac:dyDescent="0.2">
      <c r="A191" s="1" t="s">
        <v>604</v>
      </c>
      <c r="B191" s="1" t="s">
        <v>680</v>
      </c>
      <c r="C191" s="1" t="s">
        <v>681</v>
      </c>
      <c r="D191" s="1">
        <v>8344</v>
      </c>
      <c r="E191" s="1">
        <v>2024</v>
      </c>
      <c r="F191" s="175">
        <f>VLOOKUP($D191,'2024Data to Complete Appendix C'!$C$8:$Q$313,2,FALSE)</f>
        <v>1795</v>
      </c>
      <c r="G191" s="175">
        <f>VLOOKUP($D191,'2024Data to Complete Appendix C'!$C$8:$Q$313,3,FALSE)</f>
        <v>749</v>
      </c>
      <c r="H191" s="175">
        <f>VLOOKUP($D191,'2024Data to Complete Appendix C'!$C$8:$Q$313,4,FALSE)</f>
        <v>0</v>
      </c>
      <c r="I191" s="175">
        <f>VLOOKUP($D191,'2024Data to Complete Appendix C'!$C$8:$Q$313,5,FALSE)</f>
        <v>995</v>
      </c>
      <c r="J191" s="176">
        <f>VLOOKUP($D191,'2024Data to Complete Appendix C'!$C$8:$Q$313,6,FALSE)</f>
        <v>2.3965299999999998</v>
      </c>
      <c r="K191" s="176">
        <f>VLOOKUP($D191,'2024Data to Complete Appendix C'!$C$8:$Q$313,7,FALSE)</f>
        <v>1.95</v>
      </c>
      <c r="L191" s="176">
        <f>VLOOKUP($D191,'2024Data to Complete Appendix C'!$C$8:$Q$313,8,FALSE)</f>
        <v>1.1122300000000001</v>
      </c>
      <c r="M191" s="175">
        <f>VLOOKUP($D191,'2024Data to Complete Appendix C'!$C$8:$Q$313,9,FALSE)</f>
        <v>103.312</v>
      </c>
      <c r="N191" s="176">
        <f>VLOOKUP($D191,'2024Data to Complete Appendix C'!$C$8:$Q$313,10,FALSE)</f>
        <v>0.121214</v>
      </c>
      <c r="O191" s="177">
        <f>VLOOKUP($D191,'2024Data to Complete Appendix C'!$C$8:$Q$313,11,FALSE)</f>
        <v>0.56699999999999995</v>
      </c>
      <c r="P191" s="177">
        <f>VLOOKUP($D191,'2024Data to Complete Appendix C'!$C$8:$Q$313,12,FALSE)</f>
        <v>0.77268000000000003</v>
      </c>
      <c r="Q191" s="177">
        <f>VLOOKUP($D191,'2024Data to Complete Appendix C'!$C$8:$Q$313,13,FALSE)</f>
        <v>0.62213407799999998</v>
      </c>
      <c r="R191" s="176">
        <f>VLOOKUP($D191,'2024Data to Complete Appendix C'!$C$8:$Q$313,14,FALSE)</f>
        <v>2.2999999999999998</v>
      </c>
      <c r="S191" s="177">
        <f>VLOOKUP($D191,'2024Data to Complete Appendix C'!$C$8:$Q$313,15,FALSE)</f>
        <v>0.10958900000000001</v>
      </c>
      <c r="T191" s="175">
        <f>IFERROR(VLOOKUP($D191,'2024_Lodging_by_WUP'!$A:$D,4,FALSE),0)</f>
        <v>0</v>
      </c>
      <c r="U191" s="175">
        <f t="shared" si="5"/>
        <v>0</v>
      </c>
      <c r="V191" s="178">
        <f>IFERROR(VLOOKUP($D191,Total_DU!$B$5:$AB$171,24,0),0)</f>
        <v>705</v>
      </c>
      <c r="W191" s="178">
        <f>IFERROR(VLOOKUP($D191,Total_DU!$B$5:$AB$174,25,0),0)</f>
        <v>705</v>
      </c>
      <c r="X191" s="178">
        <f>IFERROR(VLOOKUP($D191,Total_DU!$B$5:$AB$174,26,0),0)</f>
        <v>705</v>
      </c>
      <c r="Y191" s="178">
        <f>IFERROR(VLOOKUP($D191,Total_DU!$B$5:$AB$174,27,0),0)</f>
        <v>705</v>
      </c>
      <c r="Z191" s="178">
        <f>IFERROR(VLOOKUP($D191,Population!$B$5:$AA$175,23,FALSE),0)</f>
        <v>1378.5927978372258</v>
      </c>
      <c r="AA191" s="178">
        <f>IFERROR(VLOOKUP($D191,Population!$B$5:$AA$175,24,FALSE),0)</f>
        <v>1379</v>
      </c>
      <c r="AB191" s="178">
        <f>IFERROR(VLOOKUP($D191,Population!$B$5:$AA$175,25,FALSE),0)</f>
        <v>1379</v>
      </c>
      <c r="AC191" s="178">
        <f>IFERROR(VLOOKUP($D191,Population!$B$5:$AA$175,26,FALSE),0)</f>
        <v>1631.9083359374881</v>
      </c>
    </row>
    <row r="192" spans="1:29" x14ac:dyDescent="0.2">
      <c r="A192" s="1" t="s">
        <v>604</v>
      </c>
      <c r="B192" s="1" t="s">
        <v>682</v>
      </c>
      <c r="C192" s="1" t="s">
        <v>683</v>
      </c>
      <c r="D192" s="1">
        <v>8399</v>
      </c>
      <c r="E192" s="1">
        <v>2024</v>
      </c>
      <c r="F192" s="175">
        <f>VLOOKUP($D192,'2024Data to Complete Appendix C'!$C$8:$Q$313,2,FALSE)</f>
        <v>1739</v>
      </c>
      <c r="G192" s="175">
        <f>VLOOKUP($D192,'2024Data to Complete Appendix C'!$C$8:$Q$313,3,FALSE)</f>
        <v>648</v>
      </c>
      <c r="H192" s="175">
        <f>VLOOKUP($D192,'2024Data to Complete Appendix C'!$C$8:$Q$313,4,FALSE)</f>
        <v>0</v>
      </c>
      <c r="I192" s="175">
        <f>VLOOKUP($D192,'2024Data to Complete Appendix C'!$C$8:$Q$313,5,FALSE)</f>
        <v>937</v>
      </c>
      <c r="J192" s="176">
        <f>VLOOKUP($D192,'2024Data to Complete Appendix C'!$C$8:$Q$313,6,FALSE)</f>
        <v>2.68364</v>
      </c>
      <c r="K192" s="176">
        <f>VLOOKUP($D192,'2024Data to Complete Appendix C'!$C$8:$Q$313,7,FALSE)</f>
        <v>1.95</v>
      </c>
      <c r="L192" s="176">
        <f>VLOOKUP($D192,'2024Data to Complete Appendix C'!$C$8:$Q$313,8,FALSE)</f>
        <v>1.1231500000000001</v>
      </c>
      <c r="M192" s="175">
        <f>VLOOKUP($D192,'2024Data to Complete Appendix C'!$C$8:$Q$313,9,FALSE)</f>
        <v>109.82899999999999</v>
      </c>
      <c r="N192" s="176">
        <f>VLOOKUP($D192,'2024Data to Complete Appendix C'!$C$8:$Q$313,10,FALSE)</f>
        <v>0.144925</v>
      </c>
      <c r="O192" s="177">
        <f>VLOOKUP($D192,'2024Data to Complete Appendix C'!$C$8:$Q$313,11,FALSE)</f>
        <v>0.56699999999999995</v>
      </c>
      <c r="P192" s="177">
        <f>VLOOKUP($D192,'2024Data to Complete Appendix C'!$C$8:$Q$313,12,FALSE)</f>
        <v>0.77268000000000003</v>
      </c>
      <c r="Q192" s="177">
        <f>VLOOKUP($D192,'2024Data to Complete Appendix C'!$C$8:$Q$313,13,FALSE)</f>
        <v>0.62213407799999998</v>
      </c>
      <c r="R192" s="176">
        <f>VLOOKUP($D192,'2024Data to Complete Appendix C'!$C$8:$Q$313,14,FALSE)</f>
        <v>2.2999999999999998</v>
      </c>
      <c r="S192" s="177">
        <f>VLOOKUP($D192,'2024Data to Complete Appendix C'!$C$8:$Q$313,15,FALSE)</f>
        <v>0.43300899999999998</v>
      </c>
      <c r="T192" s="175">
        <f>IFERROR(VLOOKUP($D192,'2024_Lodging_by_WUP'!$A:$D,4,FALSE),0)</f>
        <v>0</v>
      </c>
      <c r="U192" s="175">
        <f t="shared" si="5"/>
        <v>0</v>
      </c>
      <c r="V192" s="178">
        <f>IFERROR(VLOOKUP($D192,Total_DU!$B$5:$AB$171,24,0),0)</f>
        <v>0</v>
      </c>
      <c r="W192" s="178">
        <f>IFERROR(VLOOKUP($D192,Total_DU!$B$5:$AB$174,25,0),0)</f>
        <v>0</v>
      </c>
      <c r="X192" s="178">
        <f>IFERROR(VLOOKUP($D192,Total_DU!$B$5:$AB$174,26,0),0)</f>
        <v>0</v>
      </c>
      <c r="Y192" s="178">
        <f>IFERROR(VLOOKUP($D192,Total_DU!$B$5:$AB$174,27,0),0)</f>
        <v>0</v>
      </c>
      <c r="Z192" s="178">
        <f>IFERROR(VLOOKUP($D192,Population!$B$5:$AA$175,23,FALSE),0)</f>
        <v>0</v>
      </c>
      <c r="AA192" s="178">
        <f>IFERROR(VLOOKUP($D192,Population!$B$5:$AA$175,24,FALSE),0)</f>
        <v>0</v>
      </c>
      <c r="AB192" s="178">
        <f>IFERROR(VLOOKUP($D192,Population!$B$5:$AA$175,25,FALSE),0)</f>
        <v>0</v>
      </c>
      <c r="AC192" s="178">
        <f>IFERROR(VLOOKUP($D192,Population!$B$5:$AA$175,26,FALSE),0)</f>
        <v>0</v>
      </c>
    </row>
    <row r="193" spans="1:29" x14ac:dyDescent="0.2">
      <c r="A193" s="1" t="s">
        <v>604</v>
      </c>
      <c r="B193" s="1" t="s">
        <v>684</v>
      </c>
      <c r="C193" s="1" t="s">
        <v>685</v>
      </c>
      <c r="D193" s="1">
        <v>8468</v>
      </c>
      <c r="E193" s="1">
        <v>2024</v>
      </c>
      <c r="F193" s="175">
        <f>VLOOKUP($D193,'2024Data to Complete Appendix C'!$C$8:$Q$313,2,FALSE)</f>
        <v>9268</v>
      </c>
      <c r="G193" s="175">
        <f>VLOOKUP($D193,'2024Data to Complete Appendix C'!$C$8:$Q$313,3,FALSE)</f>
        <v>3498</v>
      </c>
      <c r="H193" s="175">
        <f>VLOOKUP($D193,'2024Data to Complete Appendix C'!$C$8:$Q$313,4,FALSE)</f>
        <v>1471</v>
      </c>
      <c r="I193" s="175">
        <f>VLOOKUP($D193,'2024Data to Complete Appendix C'!$C$8:$Q$313,5,FALSE)</f>
        <v>3995</v>
      </c>
      <c r="J193" s="176">
        <f>VLOOKUP($D193,'2024Data to Complete Appendix C'!$C$8:$Q$313,6,FALSE)</f>
        <v>2.6495099999999998</v>
      </c>
      <c r="K193" s="176">
        <f>VLOOKUP($D193,'2024Data to Complete Appendix C'!$C$8:$Q$313,7,FALSE)</f>
        <v>1.95</v>
      </c>
      <c r="L193" s="176">
        <f>VLOOKUP($D193,'2024Data to Complete Appendix C'!$C$8:$Q$313,8,FALSE)</f>
        <v>1.11354</v>
      </c>
      <c r="M193" s="175">
        <f>VLOOKUP($D193,'2024Data to Complete Appendix C'!$C$8:$Q$313,9,FALSE)</f>
        <v>539.63</v>
      </c>
      <c r="N193" s="176">
        <f>VLOOKUP($D193,'2024Data to Complete Appendix C'!$C$8:$Q$313,10,FALSE)</f>
        <v>0.13364999999999999</v>
      </c>
      <c r="O193" s="177">
        <f>VLOOKUP($D193,'2024Data to Complete Appendix C'!$C$8:$Q$313,11,FALSE)</f>
        <v>0.56699999999999995</v>
      </c>
      <c r="P193" s="177">
        <f>VLOOKUP($D193,'2024Data to Complete Appendix C'!$C$8:$Q$313,12,FALSE)</f>
        <v>0.77268000000000003</v>
      </c>
      <c r="Q193" s="177">
        <f>VLOOKUP($D193,'2024Data to Complete Appendix C'!$C$8:$Q$313,13,FALSE)</f>
        <v>0.62213407799999998</v>
      </c>
      <c r="R193" s="176">
        <f>VLOOKUP($D193,'2024Data to Complete Appendix C'!$C$8:$Q$313,14,FALSE)</f>
        <v>2.2999999999999998</v>
      </c>
      <c r="S193" s="177">
        <f>VLOOKUP($D193,'2024Data to Complete Appendix C'!$C$8:$Q$313,15,FALSE)</f>
        <v>-0.19209999999999999</v>
      </c>
      <c r="T193" s="175">
        <f>IFERROR(VLOOKUP($D193,'2024_Lodging_by_WUP'!$A:$D,4,FALSE),0)</f>
        <v>1</v>
      </c>
      <c r="U193" s="175">
        <f t="shared" si="5"/>
        <v>1.4309083793999999</v>
      </c>
      <c r="V193" s="178">
        <f>IFERROR(VLOOKUP($D193,Total_DU!$B$5:$AB$171,24,0),0)</f>
        <v>2522</v>
      </c>
      <c r="W193" s="178">
        <f>IFERROR(VLOOKUP($D193,Total_DU!$B$5:$AB$174,25,0),0)</f>
        <v>2569</v>
      </c>
      <c r="X193" s="178">
        <f>IFERROR(VLOOKUP($D193,Total_DU!$B$5:$AB$174,26,0),0)</f>
        <v>2570</v>
      </c>
      <c r="Y193" s="178">
        <f>IFERROR(VLOOKUP($D193,Total_DU!$B$5:$AB$174,27,0),0)</f>
        <v>2605</v>
      </c>
      <c r="Z193" s="178">
        <f>IFERROR(VLOOKUP($D193,Population!$B$5:$AA$175,23,FALSE),0)</f>
        <v>7615.7194602017571</v>
      </c>
      <c r="AA193" s="178">
        <f>IFERROR(VLOOKUP($D193,Population!$B$5:$AA$175,24,FALSE),0)</f>
        <v>7758</v>
      </c>
      <c r="AB193" s="178">
        <f>IFERROR(VLOOKUP($D193,Population!$B$5:$AA$175,25,FALSE),0)</f>
        <v>7764</v>
      </c>
      <c r="AC193" s="178">
        <f>IFERROR(VLOOKUP($D193,Population!$B$5:$AA$175,26,FALSE),0)</f>
        <v>7464.7968579894559</v>
      </c>
    </row>
    <row r="194" spans="1:29" x14ac:dyDescent="0.2">
      <c r="A194" s="1" t="s">
        <v>604</v>
      </c>
      <c r="B194" s="1" t="s">
        <v>686</v>
      </c>
      <c r="C194" s="1" t="s">
        <v>687</v>
      </c>
      <c r="D194" s="1">
        <v>8522</v>
      </c>
      <c r="E194" s="1">
        <v>2024</v>
      </c>
      <c r="F194" s="175">
        <f>VLOOKUP($D194,'2024Data to Complete Appendix C'!$C$8:$Q$313,2,FALSE)</f>
        <v>43511</v>
      </c>
      <c r="G194" s="175">
        <f>VLOOKUP($D194,'2024Data to Complete Appendix C'!$C$8:$Q$313,3,FALSE)</f>
        <v>15140</v>
      </c>
      <c r="H194" s="175">
        <f>VLOOKUP($D194,'2024Data to Complete Appendix C'!$C$8:$Q$313,4,FALSE)</f>
        <v>137</v>
      </c>
      <c r="I194" s="175">
        <f>VLOOKUP($D194,'2024Data to Complete Appendix C'!$C$8:$Q$313,5,FALSE)</f>
        <v>18478</v>
      </c>
      <c r="J194" s="176">
        <f>VLOOKUP($D194,'2024Data to Complete Appendix C'!$C$8:$Q$313,6,FALSE)</f>
        <v>2.87391</v>
      </c>
      <c r="K194" s="176">
        <f>VLOOKUP($D194,'2024Data to Complete Appendix C'!$C$8:$Q$313,7,FALSE)</f>
        <v>1.95</v>
      </c>
      <c r="L194" s="176">
        <f>VLOOKUP($D194,'2024Data to Complete Appendix C'!$C$8:$Q$313,8,FALSE)</f>
        <v>1.0980099999999999</v>
      </c>
      <c r="M194" s="175">
        <f>VLOOKUP($D194,'2024Data to Complete Appendix C'!$C$8:$Q$313,9,FALSE)</f>
        <v>2186.83</v>
      </c>
      <c r="N194" s="176">
        <f>VLOOKUP($D194,'2024Data to Complete Appendix C'!$C$8:$Q$313,10,FALSE)</f>
        <v>0.12620999999999999</v>
      </c>
      <c r="O194" s="177">
        <f>VLOOKUP($D194,'2024Data to Complete Appendix C'!$C$8:$Q$313,11,FALSE)</f>
        <v>0.56699999999999995</v>
      </c>
      <c r="P194" s="177">
        <f>VLOOKUP($D194,'2024Data to Complete Appendix C'!$C$8:$Q$313,12,FALSE)</f>
        <v>0.77268000000000003</v>
      </c>
      <c r="Q194" s="177">
        <f>VLOOKUP($D194,'2024Data to Complete Appendix C'!$C$8:$Q$313,13,FALSE)</f>
        <v>0.62213407799999998</v>
      </c>
      <c r="R194" s="176">
        <f>VLOOKUP($D194,'2024Data to Complete Appendix C'!$C$8:$Q$313,14,FALSE)</f>
        <v>2.2999999999999998</v>
      </c>
      <c r="S194" s="177">
        <f>VLOOKUP($D194,'2024Data to Complete Appendix C'!$C$8:$Q$313,15,FALSE)</f>
        <v>-0.31292999999999999</v>
      </c>
      <c r="T194" s="175">
        <f>IFERROR(VLOOKUP($D194,'2024_Lodging_by_WUP'!$A:$D,4,FALSE),0)</f>
        <v>204</v>
      </c>
      <c r="U194" s="175">
        <f t="shared" si="5"/>
        <v>291.90530939759998</v>
      </c>
      <c r="V194" s="178">
        <f>IFERROR(VLOOKUP($D194,Total_DU!$B$5:$AB$171,24,0),0)</f>
        <v>14567</v>
      </c>
      <c r="W194" s="178">
        <f>IFERROR(VLOOKUP($D194,Total_DU!$B$5:$AB$174,25,0),0)</f>
        <v>16417</v>
      </c>
      <c r="X194" s="178">
        <f>IFERROR(VLOOKUP($D194,Total_DU!$B$5:$AB$174,26,0),0)</f>
        <v>17744</v>
      </c>
      <c r="Y194" s="178">
        <f>IFERROR(VLOOKUP($D194,Total_DU!$B$5:$AB$174,27,0),0)</f>
        <v>19345</v>
      </c>
      <c r="Z194" s="178">
        <f>IFERROR(VLOOKUP($D194,Population!$B$5:$AA$175,23,FALSE),0)</f>
        <v>39694.383514246118</v>
      </c>
      <c r="AA194" s="178">
        <f>IFERROR(VLOOKUP($D194,Population!$B$5:$AA$175,24,FALSE),0)</f>
        <v>44258</v>
      </c>
      <c r="AB194" s="178">
        <f>IFERROR(VLOOKUP($D194,Population!$B$5:$AA$175,25,FALSE),0)</f>
        <v>47359</v>
      </c>
      <c r="AC194" s="178">
        <f>IFERROR(VLOOKUP($D194,Population!$B$5:$AA$175,26,FALSE),0)</f>
        <v>52389.226252135028</v>
      </c>
    </row>
    <row r="195" spans="1:29" x14ac:dyDescent="0.2">
      <c r="A195" s="1" t="s">
        <v>604</v>
      </c>
      <c r="B195" s="1" t="s">
        <v>688</v>
      </c>
      <c r="C195" s="1" t="s">
        <v>689</v>
      </c>
      <c r="D195" s="1">
        <v>8753</v>
      </c>
      <c r="E195" s="1">
        <v>2024</v>
      </c>
      <c r="F195" s="175">
        <f>VLOOKUP($D195,'2024Data to Complete Appendix C'!$C$8:$Q$313,2,FALSE)</f>
        <v>802</v>
      </c>
      <c r="G195" s="175">
        <f>VLOOKUP($D195,'2024Data to Complete Appendix C'!$C$8:$Q$313,3,FALSE)</f>
        <v>453</v>
      </c>
      <c r="H195" s="175">
        <f>VLOOKUP($D195,'2024Data to Complete Appendix C'!$C$8:$Q$313,4,FALSE)</f>
        <v>0</v>
      </c>
      <c r="I195" s="175">
        <f>VLOOKUP($D195,'2024Data to Complete Appendix C'!$C$8:$Q$313,5,FALSE)</f>
        <v>545</v>
      </c>
      <c r="J195" s="176">
        <f>VLOOKUP($D195,'2024Data to Complete Appendix C'!$C$8:$Q$313,6,FALSE)</f>
        <v>1.7704200000000001</v>
      </c>
      <c r="K195" s="176">
        <f>VLOOKUP($D195,'2024Data to Complete Appendix C'!$C$8:$Q$313,7,FALSE)</f>
        <v>1.95</v>
      </c>
      <c r="L195" s="176">
        <f>VLOOKUP($D195,'2024Data to Complete Appendix C'!$C$8:$Q$313,8,FALSE)</f>
        <v>1.0980300000000001</v>
      </c>
      <c r="M195" s="175">
        <f>VLOOKUP($D195,'2024Data to Complete Appendix C'!$C$8:$Q$313,9,FALSE)</f>
        <v>40.318199999999997</v>
      </c>
      <c r="N195" s="176">
        <f>VLOOKUP($D195,'2024Data to Complete Appendix C'!$C$8:$Q$313,10,FALSE)</f>
        <v>8.1728499999999996E-2</v>
      </c>
      <c r="O195" s="177">
        <f>VLOOKUP($D195,'2024Data to Complete Appendix C'!$C$8:$Q$313,11,FALSE)</f>
        <v>0.56699999999999995</v>
      </c>
      <c r="P195" s="177">
        <f>VLOOKUP($D195,'2024Data to Complete Appendix C'!$C$8:$Q$313,12,FALSE)</f>
        <v>0.77268000000000003</v>
      </c>
      <c r="Q195" s="177">
        <f>VLOOKUP($D195,'2024Data to Complete Appendix C'!$C$8:$Q$313,13,FALSE)</f>
        <v>0.62213407799999998</v>
      </c>
      <c r="R195" s="176">
        <f>VLOOKUP($D195,'2024Data to Complete Appendix C'!$C$8:$Q$313,14,FALSE)</f>
        <v>2.2999999999999998</v>
      </c>
      <c r="S195" s="177">
        <f>VLOOKUP($D195,'2024Data to Complete Appendix C'!$C$8:$Q$313,15,FALSE)</f>
        <v>0.10958900000000001</v>
      </c>
      <c r="T195" s="175">
        <f>IFERROR(VLOOKUP($D195,'2024_Lodging_by_WUP'!$A:$D,4,FALSE),0)</f>
        <v>0</v>
      </c>
      <c r="U195" s="175">
        <f t="shared" si="5"/>
        <v>0</v>
      </c>
      <c r="V195" s="178" t="str">
        <f>IFERROR(VLOOKUP($D195,Total_DU!$B$5:$AB$171,24,0),0)</f>
        <v>NA</v>
      </c>
      <c r="W195" s="178" t="str">
        <f>IFERROR(VLOOKUP($D195,Total_DU!$B$5:$AB$174,25,0),0)</f>
        <v>NA</v>
      </c>
      <c r="X195" s="178" t="str">
        <f>IFERROR(VLOOKUP($D195,Total_DU!$B$5:$AB$174,26,0),0)</f>
        <v>NA</v>
      </c>
      <c r="Y195" s="178" t="str">
        <f>IFERROR(VLOOKUP($D195,Total_DU!$B$5:$AB$174,27,0),0)</f>
        <v>NA</v>
      </c>
      <c r="Z195" s="178" t="str">
        <f>IFERROR(VLOOKUP($D195,Population!$B$5:$AA$175,23,FALSE),0)</f>
        <v>NA</v>
      </c>
      <c r="AA195" s="178" t="str">
        <f>IFERROR(VLOOKUP($D195,Population!$B$5:$AA$175,24,FALSE),0)</f>
        <v>NA</v>
      </c>
      <c r="AB195" s="178" t="str">
        <f>IFERROR(VLOOKUP($D195,Population!$B$5:$AA$175,25,FALSE),0)</f>
        <v>NA</v>
      </c>
      <c r="AC195" s="178" t="str">
        <f>IFERROR(VLOOKUP($D195,Population!$B$5:$AA$175,26,FALSE),0)</f>
        <v>NA</v>
      </c>
    </row>
    <row r="196" spans="1:29" x14ac:dyDescent="0.2">
      <c r="A196" s="1" t="s">
        <v>604</v>
      </c>
      <c r="B196" s="1" t="s">
        <v>690</v>
      </c>
      <c r="C196" s="1" t="s">
        <v>691</v>
      </c>
      <c r="D196" s="1">
        <v>8967</v>
      </c>
      <c r="E196" s="1">
        <v>2024</v>
      </c>
      <c r="F196" s="175">
        <f>VLOOKUP($D196,'2024Data to Complete Appendix C'!$C$8:$Q$313,2,FALSE)</f>
        <v>558</v>
      </c>
      <c r="G196" s="175">
        <f>VLOOKUP($D196,'2024Data to Complete Appendix C'!$C$8:$Q$313,3,FALSE)</f>
        <v>330</v>
      </c>
      <c r="H196" s="175">
        <f>VLOOKUP($D196,'2024Data to Complete Appendix C'!$C$8:$Q$313,4,FALSE)</f>
        <v>0</v>
      </c>
      <c r="I196" s="175">
        <f>VLOOKUP($D196,'2024Data to Complete Appendix C'!$C$8:$Q$313,5,FALSE)</f>
        <v>401</v>
      </c>
      <c r="J196" s="176">
        <f>VLOOKUP($D196,'2024Data to Complete Appendix C'!$C$8:$Q$313,6,FALSE)</f>
        <v>1.6909099999999999</v>
      </c>
      <c r="K196" s="176">
        <f>VLOOKUP($D196,'2024Data to Complete Appendix C'!$C$8:$Q$313,7,FALSE)</f>
        <v>1.95</v>
      </c>
      <c r="L196" s="176">
        <f>VLOOKUP($D196,'2024Data to Complete Appendix C'!$C$8:$Q$313,8,FALSE)</f>
        <v>1.0980099999999999</v>
      </c>
      <c r="M196" s="175">
        <f>VLOOKUP($D196,'2024Data to Complete Appendix C'!$C$8:$Q$313,9,FALSE)</f>
        <v>28.044599999999999</v>
      </c>
      <c r="N196" s="176">
        <f>VLOOKUP($D196,'2024Data to Complete Appendix C'!$C$8:$Q$313,10,FALSE)</f>
        <v>7.83272E-2</v>
      </c>
      <c r="O196" s="177">
        <f>VLOOKUP($D196,'2024Data to Complete Appendix C'!$C$8:$Q$313,11,FALSE)</f>
        <v>0.56699999999999995</v>
      </c>
      <c r="P196" s="177">
        <f>VLOOKUP($D196,'2024Data to Complete Appendix C'!$C$8:$Q$313,12,FALSE)</f>
        <v>0.77268000000000003</v>
      </c>
      <c r="Q196" s="177">
        <f>VLOOKUP($D196,'2024Data to Complete Appendix C'!$C$8:$Q$313,13,FALSE)</f>
        <v>0.62213407799999998</v>
      </c>
      <c r="R196" s="176">
        <f>VLOOKUP($D196,'2024Data to Complete Appendix C'!$C$8:$Q$313,14,FALSE)</f>
        <v>2.2999999999999998</v>
      </c>
      <c r="S196" s="177">
        <f>VLOOKUP($D196,'2024Data to Complete Appendix C'!$C$8:$Q$313,15,FALSE)</f>
        <v>-0.13492999999999999</v>
      </c>
      <c r="T196" s="175">
        <f>IFERROR(VLOOKUP($D196,'2024_Lodging_by_WUP'!$A:$D,4,FALSE),0)</f>
        <v>0</v>
      </c>
      <c r="U196" s="175">
        <f t="shared" si="5"/>
        <v>0</v>
      </c>
      <c r="V196" s="178">
        <f>IFERROR(VLOOKUP($D196,Total_DU!$B$5:$AB$171,24,0),0)</f>
        <v>416</v>
      </c>
      <c r="W196" s="178">
        <f>IFERROR(VLOOKUP($D196,Total_DU!$B$5:$AB$174,25,0),0)</f>
        <v>416</v>
      </c>
      <c r="X196" s="178">
        <f>IFERROR(VLOOKUP($D196,Total_DU!$B$5:$AB$174,26,0),0)</f>
        <v>416</v>
      </c>
      <c r="Y196" s="178">
        <f>IFERROR(VLOOKUP($D196,Total_DU!$B$5:$AB$174,27,0),0)</f>
        <v>416</v>
      </c>
      <c r="Z196" s="178">
        <f>IFERROR(VLOOKUP($D196,Population!$B$5:$AA$175,23,FALSE),0)</f>
        <v>698.48121311988928</v>
      </c>
      <c r="AA196" s="178">
        <f>IFERROR(VLOOKUP($D196,Population!$B$5:$AA$175,24,FALSE),0)</f>
        <v>698</v>
      </c>
      <c r="AB196" s="178">
        <f>IFERROR(VLOOKUP($D196,Population!$B$5:$AA$175,25,FALSE),0)</f>
        <v>698</v>
      </c>
      <c r="AC196" s="178">
        <f>IFERROR(VLOOKUP($D196,Population!$B$5:$AA$175,26,FALSE),0)</f>
        <v>697.4164210709846</v>
      </c>
    </row>
    <row r="197" spans="1:29" x14ac:dyDescent="0.2">
      <c r="A197" s="1" t="s">
        <v>604</v>
      </c>
      <c r="B197" s="1" t="s">
        <v>692</v>
      </c>
      <c r="C197" s="1" t="s">
        <v>693</v>
      </c>
      <c r="D197" s="1">
        <v>9128</v>
      </c>
      <c r="E197" s="1">
        <v>2024</v>
      </c>
      <c r="F197" s="175">
        <f>VLOOKUP($D197,'2024Data to Complete Appendix C'!$C$8:$Q$313,2,FALSE)</f>
        <v>1222</v>
      </c>
      <c r="G197" s="175">
        <f>VLOOKUP($D197,'2024Data to Complete Appendix C'!$C$8:$Q$313,3,FALSE)</f>
        <v>436</v>
      </c>
      <c r="H197" s="175">
        <f>VLOOKUP($D197,'2024Data to Complete Appendix C'!$C$8:$Q$313,4,FALSE)</f>
        <v>0</v>
      </c>
      <c r="I197" s="175">
        <f>VLOOKUP($D197,'2024Data to Complete Appendix C'!$C$8:$Q$313,5,FALSE)</f>
        <v>521</v>
      </c>
      <c r="J197" s="176">
        <f>VLOOKUP($D197,'2024Data to Complete Appendix C'!$C$8:$Q$313,6,FALSE)</f>
        <v>2.8027500000000001</v>
      </c>
      <c r="K197" s="176">
        <f>VLOOKUP($D197,'2024Data to Complete Appendix C'!$C$8:$Q$313,7,FALSE)</f>
        <v>1.95</v>
      </c>
      <c r="L197" s="176">
        <f>VLOOKUP($D197,'2024Data to Complete Appendix C'!$C$8:$Q$313,8,FALSE)</f>
        <v>1.04996</v>
      </c>
      <c r="M197" s="175">
        <f>VLOOKUP($D197,'2024Data to Complete Appendix C'!$C$8:$Q$313,9,FALSE)</f>
        <v>31.3111</v>
      </c>
      <c r="N197" s="176">
        <f>VLOOKUP($D197,'2024Data to Complete Appendix C'!$C$8:$Q$313,10,FALSE)</f>
        <v>6.7002699999999998E-2</v>
      </c>
      <c r="O197" s="177">
        <f>VLOOKUP($D197,'2024Data to Complete Appendix C'!$C$8:$Q$313,11,FALSE)</f>
        <v>0.56699999999999995</v>
      </c>
      <c r="P197" s="177">
        <f>VLOOKUP($D197,'2024Data to Complete Appendix C'!$C$8:$Q$313,12,FALSE)</f>
        <v>0.77268000000000003</v>
      </c>
      <c r="Q197" s="177">
        <f>VLOOKUP($D197,'2024Data to Complete Appendix C'!$C$8:$Q$313,13,FALSE)</f>
        <v>0.62213407799999998</v>
      </c>
      <c r="R197" s="176">
        <f>VLOOKUP($D197,'2024Data to Complete Appendix C'!$C$8:$Q$313,14,FALSE)</f>
        <v>2.2999999999999998</v>
      </c>
      <c r="S197" s="177">
        <f>VLOOKUP($D197,'2024Data to Complete Appendix C'!$C$8:$Q$313,15,FALSE)</f>
        <v>-6.2351499999999997E-2</v>
      </c>
      <c r="T197" s="175">
        <f>IFERROR(VLOOKUP($D197,'2024_Lodging_by_WUP'!$A:$D,4,FALSE),0)</f>
        <v>0</v>
      </c>
      <c r="U197" s="175">
        <f t="shared" si="5"/>
        <v>0</v>
      </c>
      <c r="V197" s="178">
        <f>IFERROR(VLOOKUP($D197,Total_DU!$B$5:$AB$171,24,0),0)</f>
        <v>0</v>
      </c>
      <c r="W197" s="178">
        <f>IFERROR(VLOOKUP($D197,Total_DU!$B$5:$AB$174,25,0),0)</f>
        <v>0</v>
      </c>
      <c r="X197" s="178">
        <f>IFERROR(VLOOKUP($D197,Total_DU!$B$5:$AB$174,26,0),0)</f>
        <v>0</v>
      </c>
      <c r="Y197" s="178">
        <f>IFERROR(VLOOKUP($D197,Total_DU!$B$5:$AB$174,27,0),0)</f>
        <v>0</v>
      </c>
      <c r="Z197" s="178">
        <f>IFERROR(VLOOKUP($D197,Population!$B$5:$AA$175,23,FALSE),0)</f>
        <v>0</v>
      </c>
      <c r="AA197" s="178">
        <f>IFERROR(VLOOKUP($D197,Population!$B$5:$AA$175,24,FALSE),0)</f>
        <v>0</v>
      </c>
      <c r="AB197" s="178">
        <f>IFERROR(VLOOKUP($D197,Population!$B$5:$AA$175,25,FALSE),0)</f>
        <v>0</v>
      </c>
      <c r="AC197" s="178">
        <f>IFERROR(VLOOKUP($D197,Population!$B$5:$AA$175,26,FALSE),0)</f>
        <v>0</v>
      </c>
    </row>
    <row r="198" spans="1:29" x14ac:dyDescent="0.2">
      <c r="A198" s="1" t="s">
        <v>604</v>
      </c>
      <c r="B198" s="1" t="s">
        <v>694</v>
      </c>
      <c r="C198" s="1" t="s">
        <v>523</v>
      </c>
      <c r="D198" s="1">
        <v>9336</v>
      </c>
      <c r="E198" s="1">
        <v>2024</v>
      </c>
      <c r="F198" s="175">
        <f>VLOOKUP($D198,'2024Data to Complete Appendix C'!$C$8:$Q$313,2,FALSE)</f>
        <v>806</v>
      </c>
      <c r="G198" s="175">
        <f>VLOOKUP($D198,'2024Data to Complete Appendix C'!$C$8:$Q$313,3,FALSE)</f>
        <v>310</v>
      </c>
      <c r="H198" s="175">
        <f>VLOOKUP($D198,'2024Data to Complete Appendix C'!$C$8:$Q$313,4,FALSE)</f>
        <v>0</v>
      </c>
      <c r="I198" s="175">
        <f>VLOOKUP($D198,'2024Data to Complete Appendix C'!$C$8:$Q$313,5,FALSE)</f>
        <v>338</v>
      </c>
      <c r="J198" s="176">
        <f>VLOOKUP($D198,'2024Data to Complete Appendix C'!$C$8:$Q$313,6,FALSE)</f>
        <v>2.6</v>
      </c>
      <c r="K198" s="176">
        <f>VLOOKUP($D198,'2024Data to Complete Appendix C'!$C$8:$Q$313,7,FALSE)</f>
        <v>1.95</v>
      </c>
      <c r="L198" s="176">
        <f>VLOOKUP($D198,'2024Data to Complete Appendix C'!$C$8:$Q$313,8,FALSE)</f>
        <v>1.0549299999999999</v>
      </c>
      <c r="M198" s="175">
        <f>VLOOKUP($D198,'2024Data to Complete Appendix C'!$C$8:$Q$313,9,FALSE)</f>
        <v>22.702400000000001</v>
      </c>
      <c r="N198" s="176">
        <f>VLOOKUP($D198,'2024Data to Complete Appendix C'!$C$8:$Q$313,10,FALSE)</f>
        <v>6.8236400000000003E-2</v>
      </c>
      <c r="O198" s="177">
        <f>VLOOKUP($D198,'2024Data to Complete Appendix C'!$C$8:$Q$313,11,FALSE)</f>
        <v>0.56699999999999995</v>
      </c>
      <c r="P198" s="177">
        <f>VLOOKUP($D198,'2024Data to Complete Appendix C'!$C$8:$Q$313,12,FALSE)</f>
        <v>0.77268000000000003</v>
      </c>
      <c r="Q198" s="177">
        <f>VLOOKUP($D198,'2024Data to Complete Appendix C'!$C$8:$Q$313,13,FALSE)</f>
        <v>0.62213407799999998</v>
      </c>
      <c r="R198" s="176">
        <f>VLOOKUP($D198,'2024Data to Complete Appendix C'!$C$8:$Q$313,14,FALSE)</f>
        <v>2.2999999999999998</v>
      </c>
      <c r="S198" s="177">
        <f>VLOOKUP($D198,'2024Data to Complete Appendix C'!$C$8:$Q$313,15,FALSE)</f>
        <v>-0.40730699999999997</v>
      </c>
      <c r="T198" s="175">
        <f>IFERROR(VLOOKUP($D198,'2024_Lodging_by_WUP'!$A:$D,4,FALSE),0)</f>
        <v>0</v>
      </c>
      <c r="U198" s="175">
        <f t="shared" si="5"/>
        <v>0</v>
      </c>
      <c r="V198" s="178">
        <f>IFERROR(VLOOKUP($D198,Total_DU!$B$5:$AB$171,24,0),0)</f>
        <v>0</v>
      </c>
      <c r="W198" s="178">
        <f>IFERROR(VLOOKUP($D198,Total_DU!$B$5:$AB$174,25,0),0)</f>
        <v>0</v>
      </c>
      <c r="X198" s="178">
        <f>IFERROR(VLOOKUP($D198,Total_DU!$B$5:$AB$174,26,0),0)</f>
        <v>0</v>
      </c>
      <c r="Y198" s="178">
        <f>IFERROR(VLOOKUP($D198,Total_DU!$B$5:$AB$174,27,0),0)</f>
        <v>0</v>
      </c>
      <c r="Z198" s="178">
        <f>IFERROR(VLOOKUP($D198,Population!$B$5:$AA$175,23,FALSE),0)</f>
        <v>0</v>
      </c>
      <c r="AA198" s="178">
        <f>IFERROR(VLOOKUP($D198,Population!$B$5:$AA$175,24,FALSE),0)</f>
        <v>0</v>
      </c>
      <c r="AB198" s="178">
        <f>IFERROR(VLOOKUP($D198,Population!$B$5:$AA$175,25,FALSE),0)</f>
        <v>0</v>
      </c>
      <c r="AC198" s="178">
        <f>IFERROR(VLOOKUP($D198,Population!$B$5:$AA$175,26,FALSE),0)</f>
        <v>0</v>
      </c>
    </row>
    <row r="199" spans="1:29" x14ac:dyDescent="0.2">
      <c r="A199" s="1" t="s">
        <v>604</v>
      </c>
      <c r="B199" s="1" t="s">
        <v>695</v>
      </c>
      <c r="C199" s="1" t="s">
        <v>696</v>
      </c>
      <c r="D199" s="1">
        <v>9557</v>
      </c>
      <c r="E199" s="1">
        <v>2024</v>
      </c>
      <c r="F199" s="175">
        <f>VLOOKUP($D199,'2024Data to Complete Appendix C'!$C$8:$Q$313,2,FALSE)</f>
        <v>351</v>
      </c>
      <c r="G199" s="175">
        <f>VLOOKUP($D199,'2024Data to Complete Appendix C'!$C$8:$Q$313,3,FALSE)</f>
        <v>215</v>
      </c>
      <c r="H199" s="175">
        <f>VLOOKUP($D199,'2024Data to Complete Appendix C'!$C$8:$Q$313,4,FALSE)</f>
        <v>0</v>
      </c>
      <c r="I199" s="175">
        <f>VLOOKUP($D199,'2024Data to Complete Appendix C'!$C$8:$Q$313,5,FALSE)</f>
        <v>286</v>
      </c>
      <c r="J199" s="176">
        <f>VLOOKUP($D199,'2024Data to Complete Appendix C'!$C$8:$Q$313,6,FALSE)</f>
        <v>1.63256</v>
      </c>
      <c r="K199" s="176">
        <f>VLOOKUP($D199,'2024Data to Complete Appendix C'!$C$8:$Q$313,7,FALSE)</f>
        <v>1.95</v>
      </c>
      <c r="L199" s="176">
        <f>VLOOKUP($D199,'2024Data to Complete Appendix C'!$C$8:$Q$313,8,FALSE)</f>
        <v>1.19787</v>
      </c>
      <c r="M199" s="175">
        <f>VLOOKUP($D199,'2024Data to Complete Appendix C'!$C$8:$Q$313,9,FALSE)</f>
        <v>35.616500000000002</v>
      </c>
      <c r="N199" s="176">
        <f>VLOOKUP($D199,'2024Data to Complete Appendix C'!$C$8:$Q$313,10,FALSE)</f>
        <v>0.14211599999999999</v>
      </c>
      <c r="O199" s="177">
        <f>VLOOKUP($D199,'2024Data to Complete Appendix C'!$C$8:$Q$313,11,FALSE)</f>
        <v>0.56699999999999995</v>
      </c>
      <c r="P199" s="177">
        <f>VLOOKUP($D199,'2024Data to Complete Appendix C'!$C$8:$Q$313,12,FALSE)</f>
        <v>0.77268000000000003</v>
      </c>
      <c r="Q199" s="177">
        <f>VLOOKUP($D199,'2024Data to Complete Appendix C'!$C$8:$Q$313,13,FALSE)</f>
        <v>0.62213407799999998</v>
      </c>
      <c r="R199" s="176">
        <f>VLOOKUP($D199,'2024Data to Complete Appendix C'!$C$8:$Q$313,14,FALSE)</f>
        <v>2.2999999999999998</v>
      </c>
      <c r="S199" s="177">
        <f>VLOOKUP($D199,'2024Data to Complete Appendix C'!$C$8:$Q$313,15,FALSE)</f>
        <v>-0.12878300000000001</v>
      </c>
      <c r="T199" s="175">
        <f>IFERROR(VLOOKUP($D199,'2024_Lodging_by_WUP'!$A:$D,4,FALSE),0)</f>
        <v>0</v>
      </c>
      <c r="U199" s="175">
        <f t="shared" si="5"/>
        <v>0</v>
      </c>
      <c r="V199" s="178">
        <f>IFERROR(VLOOKUP($D199,Total_DU!$B$5:$AB$171,24,0),0)</f>
        <v>0</v>
      </c>
      <c r="W199" s="178">
        <f>IFERROR(VLOOKUP($D199,Total_DU!$B$5:$AB$174,25,0),0)</f>
        <v>0</v>
      </c>
      <c r="X199" s="178">
        <f>IFERROR(VLOOKUP($D199,Total_DU!$B$5:$AB$174,26,0),0)</f>
        <v>0</v>
      </c>
      <c r="Y199" s="178">
        <f>IFERROR(VLOOKUP($D199,Total_DU!$B$5:$AB$174,27,0),0)</f>
        <v>0</v>
      </c>
      <c r="Z199" s="178">
        <f>IFERROR(VLOOKUP($D199,Population!$B$5:$AA$175,23,FALSE),0)</f>
        <v>0</v>
      </c>
      <c r="AA199" s="178">
        <f>IFERROR(VLOOKUP($D199,Population!$B$5:$AA$175,24,FALSE),0)</f>
        <v>0</v>
      </c>
      <c r="AB199" s="178">
        <f>IFERROR(VLOOKUP($D199,Population!$B$5:$AA$175,25,FALSE),0)</f>
        <v>0</v>
      </c>
      <c r="AC199" s="178">
        <f>IFERROR(VLOOKUP($D199,Population!$B$5:$AA$175,26,FALSE),0)</f>
        <v>0</v>
      </c>
    </row>
    <row r="200" spans="1:29" x14ac:dyDescent="0.2">
      <c r="A200" s="1" t="s">
        <v>604</v>
      </c>
      <c r="B200" s="1" t="s">
        <v>697</v>
      </c>
      <c r="C200" s="1" t="s">
        <v>618</v>
      </c>
      <c r="D200" s="1">
        <v>9569</v>
      </c>
      <c r="E200" s="1">
        <v>2024</v>
      </c>
      <c r="F200" s="175">
        <f>VLOOKUP($D200,'2024Data to Complete Appendix C'!$C$8:$Q$313,2,FALSE)</f>
        <v>763</v>
      </c>
      <c r="G200" s="175">
        <f>VLOOKUP($D200,'2024Data to Complete Appendix C'!$C$8:$Q$313,3,FALSE)</f>
        <v>243</v>
      </c>
      <c r="H200" s="175">
        <f>VLOOKUP($D200,'2024Data to Complete Appendix C'!$C$8:$Q$313,4,FALSE)</f>
        <v>0</v>
      </c>
      <c r="I200" s="175">
        <f>VLOOKUP($D200,'2024Data to Complete Appendix C'!$C$8:$Q$313,5,FALSE)</f>
        <v>264</v>
      </c>
      <c r="J200" s="176">
        <f>VLOOKUP($D200,'2024Data to Complete Appendix C'!$C$8:$Q$313,6,FALSE)</f>
        <v>3.13992</v>
      </c>
      <c r="K200" s="176">
        <f>VLOOKUP($D200,'2024Data to Complete Appendix C'!$C$8:$Q$313,7,FALSE)</f>
        <v>1.95</v>
      </c>
      <c r="L200" s="176">
        <f>VLOOKUP($D200,'2024Data to Complete Appendix C'!$C$8:$Q$313,8,FALSE)</f>
        <v>1.0980099999999999</v>
      </c>
      <c r="M200" s="175">
        <f>VLOOKUP($D200,'2024Data to Complete Appendix C'!$C$8:$Q$313,9,FALSE)</f>
        <v>38.347799999999999</v>
      </c>
      <c r="N200" s="176">
        <f>VLOOKUP($D200,'2024Data to Complete Appendix C'!$C$8:$Q$313,10,FALSE)</f>
        <v>0.1363</v>
      </c>
      <c r="O200" s="177">
        <f>VLOOKUP($D200,'2024Data to Complete Appendix C'!$C$8:$Q$313,11,FALSE)</f>
        <v>0.56699999999999995</v>
      </c>
      <c r="P200" s="177">
        <f>VLOOKUP($D200,'2024Data to Complete Appendix C'!$C$8:$Q$313,12,FALSE)</f>
        <v>0.77268000000000003</v>
      </c>
      <c r="Q200" s="177">
        <f>VLOOKUP($D200,'2024Data to Complete Appendix C'!$C$8:$Q$313,13,FALSE)</f>
        <v>0.62213407799999998</v>
      </c>
      <c r="R200" s="176">
        <f>VLOOKUP($D200,'2024Data to Complete Appendix C'!$C$8:$Q$313,14,FALSE)</f>
        <v>2.2999999999999998</v>
      </c>
      <c r="S200" s="177">
        <f>VLOOKUP($D200,'2024Data to Complete Appendix C'!$C$8:$Q$313,15,FALSE)</f>
        <v>-0.44907000000000002</v>
      </c>
      <c r="T200" s="175">
        <f>IFERROR(VLOOKUP($D200,'2024_Lodging_by_WUP'!$A:$D,4,FALSE),0)</f>
        <v>0</v>
      </c>
      <c r="U200" s="175">
        <f t="shared" si="5"/>
        <v>0</v>
      </c>
      <c r="V200" s="178">
        <f>IFERROR(VLOOKUP($D200,Total_DU!$B$5:$AB$171,24,0),0)</f>
        <v>0</v>
      </c>
      <c r="W200" s="178">
        <f>IFERROR(VLOOKUP($D200,Total_DU!$B$5:$AB$174,25,0),0)</f>
        <v>0</v>
      </c>
      <c r="X200" s="178">
        <f>IFERROR(VLOOKUP($D200,Total_DU!$B$5:$AB$174,26,0),0)</f>
        <v>0</v>
      </c>
      <c r="Y200" s="178">
        <f>IFERROR(VLOOKUP($D200,Total_DU!$B$5:$AB$174,27,0),0)</f>
        <v>0</v>
      </c>
      <c r="Z200" s="178">
        <f>IFERROR(VLOOKUP($D200,Population!$B$5:$AA$175,23,FALSE),0)</f>
        <v>0</v>
      </c>
      <c r="AA200" s="178">
        <f>IFERROR(VLOOKUP($D200,Population!$B$5:$AA$175,24,FALSE),0)</f>
        <v>0</v>
      </c>
      <c r="AB200" s="178">
        <f>IFERROR(VLOOKUP($D200,Population!$B$5:$AA$175,25,FALSE),0)</f>
        <v>0</v>
      </c>
      <c r="AC200" s="178">
        <f>IFERROR(VLOOKUP($D200,Population!$B$5:$AA$175,26,FALSE),0)</f>
        <v>0</v>
      </c>
    </row>
    <row r="201" spans="1:29" x14ac:dyDescent="0.2">
      <c r="A201" s="1" t="s">
        <v>604</v>
      </c>
      <c r="B201" s="1" t="s">
        <v>698</v>
      </c>
      <c r="C201" s="1" t="s">
        <v>699</v>
      </c>
      <c r="D201" s="1">
        <v>9807</v>
      </c>
      <c r="E201" s="1">
        <v>2024</v>
      </c>
      <c r="F201" s="175">
        <f>VLOOKUP($D201,'2024Data to Complete Appendix C'!$C$8:$Q$313,2,FALSE)</f>
        <v>333</v>
      </c>
      <c r="G201" s="175">
        <f>VLOOKUP($D201,'2024Data to Complete Appendix C'!$C$8:$Q$313,3,FALSE)</f>
        <v>153</v>
      </c>
      <c r="H201" s="175">
        <f>VLOOKUP($D201,'2024Data to Complete Appendix C'!$C$8:$Q$313,4,FALSE)</f>
        <v>0</v>
      </c>
      <c r="I201" s="175">
        <f>VLOOKUP($D201,'2024Data to Complete Appendix C'!$C$8:$Q$313,5,FALSE)</f>
        <v>179</v>
      </c>
      <c r="J201" s="176">
        <f>VLOOKUP($D201,'2024Data to Complete Appendix C'!$C$8:$Q$313,6,FALSE)</f>
        <v>2.1764700000000001</v>
      </c>
      <c r="K201" s="176">
        <f>VLOOKUP($D201,'2024Data to Complete Appendix C'!$C$8:$Q$313,7,FALSE)</f>
        <v>1.95</v>
      </c>
      <c r="L201" s="176">
        <f>VLOOKUP($D201,'2024Data to Complete Appendix C'!$C$8:$Q$313,8,FALSE)</f>
        <v>1.21966</v>
      </c>
      <c r="M201" s="175">
        <f>VLOOKUP($D201,'2024Data to Complete Appendix C'!$C$8:$Q$313,9,FALSE)</f>
        <v>37.510399999999997</v>
      </c>
      <c r="N201" s="176">
        <f>VLOOKUP($D201,'2024Data to Complete Appendix C'!$C$8:$Q$313,10,FALSE)</f>
        <v>0.19689400000000001</v>
      </c>
      <c r="O201" s="177">
        <f>VLOOKUP($D201,'2024Data to Complete Appendix C'!$C$8:$Q$313,11,FALSE)</f>
        <v>0.56699999999999995</v>
      </c>
      <c r="P201" s="177">
        <f>VLOOKUP($D201,'2024Data to Complete Appendix C'!$C$8:$Q$313,12,FALSE)</f>
        <v>0.77268000000000003</v>
      </c>
      <c r="Q201" s="177">
        <f>VLOOKUP($D201,'2024Data to Complete Appendix C'!$C$8:$Q$313,13,FALSE)</f>
        <v>0.62213407799999998</v>
      </c>
      <c r="R201" s="176">
        <f>VLOOKUP($D201,'2024Data to Complete Appendix C'!$C$8:$Q$313,14,FALSE)</f>
        <v>2.2999999999999998</v>
      </c>
      <c r="S201" s="177">
        <f>VLOOKUP($D201,'2024Data to Complete Appendix C'!$C$8:$Q$313,15,FALSE)</f>
        <v>0.16</v>
      </c>
      <c r="T201" s="175">
        <f>IFERROR(VLOOKUP($D201,'2024_Lodging_by_WUP'!$A:$D,4,FALSE),0)</f>
        <v>0</v>
      </c>
      <c r="U201" s="175">
        <f t="shared" si="5"/>
        <v>0</v>
      </c>
      <c r="V201" s="178">
        <f>IFERROR(VLOOKUP($D201,Total_DU!$B$5:$AB$171,24,0),0)</f>
        <v>0</v>
      </c>
      <c r="W201" s="178">
        <f>IFERROR(VLOOKUP($D201,Total_DU!$B$5:$AB$174,25,0),0)</f>
        <v>0</v>
      </c>
      <c r="X201" s="178">
        <f>IFERROR(VLOOKUP($D201,Total_DU!$B$5:$AB$174,26,0),0)</f>
        <v>0</v>
      </c>
      <c r="Y201" s="178">
        <f>IFERROR(VLOOKUP($D201,Total_DU!$B$5:$AB$174,27,0),0)</f>
        <v>0</v>
      </c>
      <c r="Z201" s="178">
        <f>IFERROR(VLOOKUP($D201,Population!$B$5:$AA$175,23,FALSE),0)</f>
        <v>0</v>
      </c>
      <c r="AA201" s="178">
        <f>IFERROR(VLOOKUP($D201,Population!$B$5:$AA$175,24,FALSE),0)</f>
        <v>0</v>
      </c>
      <c r="AB201" s="178">
        <f>IFERROR(VLOOKUP($D201,Population!$B$5:$AA$175,25,FALSE),0)</f>
        <v>0</v>
      </c>
      <c r="AC201" s="178">
        <f>IFERROR(VLOOKUP($D201,Population!$B$5:$AA$175,26,FALSE),0)</f>
        <v>0</v>
      </c>
    </row>
    <row r="202" spans="1:29" x14ac:dyDescent="0.2">
      <c r="A202" s="1" t="s">
        <v>604</v>
      </c>
      <c r="B202" s="1" t="s">
        <v>700</v>
      </c>
      <c r="C202" s="1" t="s">
        <v>701</v>
      </c>
      <c r="D202" s="1">
        <v>9835</v>
      </c>
      <c r="E202" s="1">
        <v>2024</v>
      </c>
      <c r="F202" s="175">
        <f>VLOOKUP($D202,'2024Data to Complete Appendix C'!$C$8:$Q$313,2,FALSE)</f>
        <v>489</v>
      </c>
      <c r="G202" s="175">
        <f>VLOOKUP($D202,'2024Data to Complete Appendix C'!$C$8:$Q$313,3,FALSE)</f>
        <v>192</v>
      </c>
      <c r="H202" s="175">
        <f>VLOOKUP($D202,'2024Data to Complete Appendix C'!$C$8:$Q$313,4,FALSE)</f>
        <v>0</v>
      </c>
      <c r="I202" s="175">
        <f>VLOOKUP($D202,'2024Data to Complete Appendix C'!$C$8:$Q$313,5,FALSE)</f>
        <v>244</v>
      </c>
      <c r="J202" s="176">
        <f>VLOOKUP($D202,'2024Data to Complete Appendix C'!$C$8:$Q$313,6,FALSE)</f>
        <v>2.5468799999999998</v>
      </c>
      <c r="K202" s="176">
        <f>VLOOKUP($D202,'2024Data to Complete Appendix C'!$C$8:$Q$313,7,FALSE)</f>
        <v>1.95</v>
      </c>
      <c r="L202" s="176">
        <f>VLOOKUP($D202,'2024Data to Complete Appendix C'!$C$8:$Q$313,8,FALSE)</f>
        <v>1.0656000000000001</v>
      </c>
      <c r="M202" s="175">
        <f>VLOOKUP($D202,'2024Data to Complete Appendix C'!$C$8:$Q$313,9,FALSE)</f>
        <v>16.450900000000001</v>
      </c>
      <c r="N202" s="176">
        <f>VLOOKUP($D202,'2024Data to Complete Appendix C'!$C$8:$Q$313,10,FALSE)</f>
        <v>7.8920000000000004E-2</v>
      </c>
      <c r="O202" s="177">
        <f>VLOOKUP($D202,'2024Data to Complete Appendix C'!$C$8:$Q$313,11,FALSE)</f>
        <v>0.56699999999999995</v>
      </c>
      <c r="P202" s="177">
        <f>VLOOKUP($D202,'2024Data to Complete Appendix C'!$C$8:$Q$313,12,FALSE)</f>
        <v>0.77268000000000003</v>
      </c>
      <c r="Q202" s="177">
        <f>VLOOKUP($D202,'2024Data to Complete Appendix C'!$C$8:$Q$313,13,FALSE)</f>
        <v>0.62213407799999998</v>
      </c>
      <c r="R202" s="176">
        <f>VLOOKUP($D202,'2024Data to Complete Appendix C'!$C$8:$Q$313,14,FALSE)</f>
        <v>2.2999999999999998</v>
      </c>
      <c r="S202" s="177">
        <f>VLOOKUP($D202,'2024Data to Complete Appendix C'!$C$8:$Q$313,15,FALSE)</f>
        <v>-0.91044800000000004</v>
      </c>
      <c r="T202" s="175">
        <f>IFERROR(VLOOKUP($D202,'2024_Lodging_by_WUP'!$A:$D,4,FALSE),0)</f>
        <v>0</v>
      </c>
      <c r="U202" s="175">
        <f t="shared" si="5"/>
        <v>0</v>
      </c>
      <c r="V202" s="178">
        <f>IFERROR(VLOOKUP($D202,Total_DU!$B$5:$AB$171,24,0),0)</f>
        <v>0</v>
      </c>
      <c r="W202" s="178">
        <f>IFERROR(VLOOKUP($D202,Total_DU!$B$5:$AB$174,25,0),0)</f>
        <v>0</v>
      </c>
      <c r="X202" s="178">
        <f>IFERROR(VLOOKUP($D202,Total_DU!$B$5:$AB$174,26,0),0)</f>
        <v>0</v>
      </c>
      <c r="Y202" s="178">
        <f>IFERROR(VLOOKUP($D202,Total_DU!$B$5:$AB$174,27,0),0)</f>
        <v>0</v>
      </c>
      <c r="Z202" s="178">
        <f>IFERROR(VLOOKUP($D202,Population!$B$5:$AA$175,23,FALSE),0)</f>
        <v>0</v>
      </c>
      <c r="AA202" s="178">
        <f>IFERROR(VLOOKUP($D202,Population!$B$5:$AA$175,24,FALSE),0)</f>
        <v>0</v>
      </c>
      <c r="AB202" s="178">
        <f>IFERROR(VLOOKUP($D202,Population!$B$5:$AA$175,25,FALSE),0)</f>
        <v>0</v>
      </c>
      <c r="AC202" s="178">
        <f>IFERROR(VLOOKUP($D202,Population!$B$5:$AA$175,26,FALSE),0)</f>
        <v>0</v>
      </c>
    </row>
    <row r="203" spans="1:29" x14ac:dyDescent="0.2">
      <c r="A203" s="1" t="s">
        <v>604</v>
      </c>
      <c r="B203" s="1" t="s">
        <v>702</v>
      </c>
      <c r="C203" s="1" t="s">
        <v>654</v>
      </c>
      <c r="D203" s="1">
        <v>10141</v>
      </c>
      <c r="E203" s="1">
        <v>2024</v>
      </c>
      <c r="F203" s="175">
        <f>VLOOKUP($D203,'2024Data to Complete Appendix C'!$C$8:$Q$313,2,FALSE)</f>
        <v>857</v>
      </c>
      <c r="G203" s="175">
        <f>VLOOKUP($D203,'2024Data to Complete Appendix C'!$C$8:$Q$313,3,FALSE)</f>
        <v>377</v>
      </c>
      <c r="H203" s="175">
        <f>VLOOKUP($D203,'2024Data to Complete Appendix C'!$C$8:$Q$313,4,FALSE)</f>
        <v>0</v>
      </c>
      <c r="I203" s="175">
        <f>VLOOKUP($D203,'2024Data to Complete Appendix C'!$C$8:$Q$313,5,FALSE)</f>
        <v>485</v>
      </c>
      <c r="J203" s="176">
        <f>VLOOKUP($D203,'2024Data to Complete Appendix C'!$C$8:$Q$313,6,FALSE)</f>
        <v>2.2732100000000002</v>
      </c>
      <c r="K203" s="176">
        <f>VLOOKUP($D203,'2024Data to Complete Appendix C'!$C$8:$Q$313,7,FALSE)</f>
        <v>1.95</v>
      </c>
      <c r="L203" s="176">
        <f>VLOOKUP($D203,'2024Data to Complete Appendix C'!$C$8:$Q$313,8,FALSE)</f>
        <v>1.0415300000000001</v>
      </c>
      <c r="M203" s="175">
        <f>VLOOKUP($D203,'2024Data to Complete Appendix C'!$C$8:$Q$313,9,FALSE)</f>
        <v>18.2501</v>
      </c>
      <c r="N203" s="176">
        <f>VLOOKUP($D203,'2024Data to Complete Appendix C'!$C$8:$Q$313,10,FALSE)</f>
        <v>4.6173499999999999E-2</v>
      </c>
      <c r="O203" s="177">
        <f>VLOOKUP($D203,'2024Data to Complete Appendix C'!$C$8:$Q$313,11,FALSE)</f>
        <v>0.56699999999999995</v>
      </c>
      <c r="P203" s="177">
        <f>VLOOKUP($D203,'2024Data to Complete Appendix C'!$C$8:$Q$313,12,FALSE)</f>
        <v>0.77268000000000003</v>
      </c>
      <c r="Q203" s="177">
        <f>VLOOKUP($D203,'2024Data to Complete Appendix C'!$C$8:$Q$313,13,FALSE)</f>
        <v>0.62213407799999998</v>
      </c>
      <c r="R203" s="176">
        <f>VLOOKUP($D203,'2024Data to Complete Appendix C'!$C$8:$Q$313,14,FALSE)</f>
        <v>2.2999999999999998</v>
      </c>
      <c r="S203" s="177">
        <f>VLOOKUP($D203,'2024Data to Complete Appendix C'!$C$8:$Q$313,15,FALSE)</f>
        <v>-0.65917300000000001</v>
      </c>
      <c r="T203" s="175">
        <f>IFERROR(VLOOKUP($D203,'2024_Lodging_by_WUP'!$A:$D,4,FALSE),0)</f>
        <v>0</v>
      </c>
      <c r="U203" s="175">
        <f t="shared" si="5"/>
        <v>0</v>
      </c>
      <c r="V203" s="178" t="str">
        <f>IFERROR(VLOOKUP($D203,Total_DU!$B$5:$AB$171,24,0),0)</f>
        <v>NA</v>
      </c>
      <c r="W203" s="178">
        <f>IFERROR(VLOOKUP($D203,Total_DU!$B$5:$AB$174,25,0),0)</f>
        <v>145</v>
      </c>
      <c r="X203" s="178" t="str">
        <f>IFERROR(VLOOKUP($D203,Total_DU!$B$5:$AB$174,26,0),0)</f>
        <v>NA</v>
      </c>
      <c r="Y203" s="178" t="str">
        <f>IFERROR(VLOOKUP($D203,Total_DU!$B$5:$AB$174,27,0),0)</f>
        <v>NA</v>
      </c>
      <c r="Z203" s="178">
        <f>IFERROR(VLOOKUP($D203,Population!$B$5:$AA$175,23,FALSE),0)</f>
        <v>653.02570778759548</v>
      </c>
      <c r="AA203" s="178">
        <f>IFERROR(VLOOKUP($D203,Population!$B$5:$AA$175,24,FALSE),0)</f>
        <v>379</v>
      </c>
      <c r="AB203" s="178" t="str">
        <f>IFERROR(VLOOKUP($D203,Population!$B$5:$AA$175,25,FALSE),0)</f>
        <v>NA</v>
      </c>
      <c r="AC203" s="178" t="str">
        <f>IFERROR(VLOOKUP($D203,Population!$B$5:$AA$175,26,FALSE),0)</f>
        <v>NA</v>
      </c>
    </row>
    <row r="204" spans="1:29" x14ac:dyDescent="0.2">
      <c r="A204" s="1" t="s">
        <v>604</v>
      </c>
      <c r="B204" s="1" t="s">
        <v>703</v>
      </c>
      <c r="C204" s="1" t="s">
        <v>704</v>
      </c>
      <c r="D204" s="1">
        <v>12800</v>
      </c>
      <c r="E204" s="1">
        <v>2024</v>
      </c>
      <c r="F204" s="175">
        <f>VLOOKUP($D204,'2024Data to Complete Appendix C'!$C$8:$Q$313,2,FALSE)</f>
        <v>1364</v>
      </c>
      <c r="G204" s="175">
        <f>VLOOKUP($D204,'2024Data to Complete Appendix C'!$C$8:$Q$313,3,FALSE)</f>
        <v>413</v>
      </c>
      <c r="H204" s="175">
        <f>VLOOKUP($D204,'2024Data to Complete Appendix C'!$C$8:$Q$313,4,FALSE)</f>
        <v>0</v>
      </c>
      <c r="I204" s="175">
        <f>VLOOKUP($D204,'2024Data to Complete Appendix C'!$C$8:$Q$313,5,FALSE)</f>
        <v>574</v>
      </c>
      <c r="J204" s="176">
        <f>VLOOKUP($D204,'2024Data to Complete Appendix C'!$C$8:$Q$313,6,FALSE)</f>
        <v>3.3026599999999999</v>
      </c>
      <c r="K204" s="176">
        <f>VLOOKUP($D204,'2024Data to Complete Appendix C'!$C$8:$Q$313,7,FALSE)</f>
        <v>1.95</v>
      </c>
      <c r="L204" s="176">
        <f>VLOOKUP($D204,'2024Data to Complete Appendix C'!$C$8:$Q$313,8,FALSE)</f>
        <v>1.1231500000000001</v>
      </c>
      <c r="M204" s="175">
        <f>VLOOKUP($D204,'2024Data to Complete Appendix C'!$C$8:$Q$313,9,FALSE)</f>
        <v>86.145099999999999</v>
      </c>
      <c r="N204" s="176">
        <f>VLOOKUP($D204,'2024Data to Complete Appendix C'!$C$8:$Q$313,10,FALSE)</f>
        <v>0.17258499999999999</v>
      </c>
      <c r="O204" s="177">
        <f>VLOOKUP($D204,'2024Data to Complete Appendix C'!$C$8:$Q$313,11,FALSE)</f>
        <v>0.56699999999999995</v>
      </c>
      <c r="P204" s="177">
        <f>VLOOKUP($D204,'2024Data to Complete Appendix C'!$C$8:$Q$313,12,FALSE)</f>
        <v>0.77268000000000003</v>
      </c>
      <c r="Q204" s="177">
        <f>VLOOKUP($D204,'2024Data to Complete Appendix C'!$C$8:$Q$313,13,FALSE)</f>
        <v>0.62213407799999998</v>
      </c>
      <c r="R204" s="176">
        <f>VLOOKUP($D204,'2024Data to Complete Appendix C'!$C$8:$Q$313,14,FALSE)</f>
        <v>2.2999999999999998</v>
      </c>
      <c r="S204" s="177">
        <f>VLOOKUP($D204,'2024Data to Complete Appendix C'!$C$8:$Q$313,15,FALSE)</f>
        <v>0.43300899999999998</v>
      </c>
      <c r="T204" s="175">
        <f>IFERROR(VLOOKUP($D204,'2024_Lodging_by_WUP'!$A:$D,4,FALSE),0)</f>
        <v>8</v>
      </c>
      <c r="U204" s="175">
        <f t="shared" ref="U204" si="6">IF(T204&gt;0,T204*Q204*R204,0)</f>
        <v>11.447267035199999</v>
      </c>
      <c r="V204" s="178">
        <f>IFERROR(VLOOKUP($D204,Total_DU!$B$5:$AB$171,24,0),0)</f>
        <v>391</v>
      </c>
      <c r="W204" s="178">
        <f>IFERROR(VLOOKUP($D204,Total_DU!$B$5:$AB$174,25,0),0)</f>
        <v>759</v>
      </c>
      <c r="X204" s="178" t="str">
        <f>IFERROR(VLOOKUP($D204,Total_DU!$B$5:$AB$174,26,0),0)</f>
        <v>NA</v>
      </c>
      <c r="Y204" s="178" t="str">
        <f>IFERROR(VLOOKUP($D204,Total_DU!$B$5:$AB$174,27,0),0)</f>
        <v>NA</v>
      </c>
      <c r="Z204" s="178">
        <f>IFERROR(VLOOKUP($D204,Population!$B$5:$AA$175,23,FALSE),0)</f>
        <v>1151.5805845447783</v>
      </c>
      <c r="AA204" s="178">
        <f>IFERROR(VLOOKUP($D204,Population!$B$5:$AA$175,24,FALSE),0)</f>
        <v>2235</v>
      </c>
      <c r="AB204" s="178">
        <f>IFERROR(VLOOKUP($D204,Population!$B$5:$AA$175,25,FALSE),0)</f>
        <v>4</v>
      </c>
      <c r="AC204" s="178" t="str">
        <f>IFERROR(VLOOKUP($D204,Population!$B$5:$AA$175,26,FALSE),0)</f>
        <v>NA</v>
      </c>
    </row>
    <row r="205" spans="1:29" x14ac:dyDescent="0.2">
      <c r="A205" s="1" t="s">
        <v>604</v>
      </c>
      <c r="B205" s="1" t="s">
        <v>705</v>
      </c>
      <c r="C205" s="1" t="s">
        <v>706</v>
      </c>
      <c r="D205" s="1">
        <v>12964</v>
      </c>
      <c r="E205" s="1">
        <v>2024</v>
      </c>
      <c r="F205" s="175">
        <f>VLOOKUP($D205,'2024Data to Complete Appendix C'!$C$8:$Q$313,2,FALSE)</f>
        <v>1850</v>
      </c>
      <c r="G205" s="175">
        <f>VLOOKUP($D205,'2024Data to Complete Appendix C'!$C$8:$Q$313,3,FALSE)</f>
        <v>579</v>
      </c>
      <c r="H205" s="175">
        <f>VLOOKUP($D205,'2024Data to Complete Appendix C'!$C$8:$Q$313,4,FALSE)</f>
        <v>0</v>
      </c>
      <c r="I205" s="175">
        <f>VLOOKUP($D205,'2024Data to Complete Appendix C'!$C$8:$Q$313,5,FALSE)</f>
        <v>605</v>
      </c>
      <c r="J205" s="176">
        <f>VLOOKUP($D205,'2024Data to Complete Appendix C'!$C$8:$Q$313,6,FALSE)</f>
        <v>3.19516</v>
      </c>
      <c r="K205" s="176">
        <f>VLOOKUP($D205,'2024Data to Complete Appendix C'!$C$8:$Q$313,7,FALSE)</f>
        <v>1.95</v>
      </c>
      <c r="L205" s="176">
        <f>VLOOKUP($D205,'2024Data to Complete Appendix C'!$C$8:$Q$313,8,FALSE)</f>
        <v>1.06477</v>
      </c>
      <c r="M205" s="175">
        <f>VLOOKUP($D205,'2024Data to Complete Appendix C'!$C$8:$Q$313,9,FALSE)</f>
        <v>61.448900000000002</v>
      </c>
      <c r="N205" s="176">
        <f>VLOOKUP($D205,'2024Data to Complete Appendix C'!$C$8:$Q$313,10,FALSE)</f>
        <v>9.5946600000000007E-2</v>
      </c>
      <c r="O205" s="177">
        <f>VLOOKUP($D205,'2024Data to Complete Appendix C'!$C$8:$Q$313,11,FALSE)</f>
        <v>0.56699999999999995</v>
      </c>
      <c r="P205" s="177">
        <f>VLOOKUP($D205,'2024Data to Complete Appendix C'!$C$8:$Q$313,12,FALSE)</f>
        <v>0.77268000000000003</v>
      </c>
      <c r="Q205" s="177">
        <f>VLOOKUP($D205,'2024Data to Complete Appendix C'!$C$8:$Q$313,13,FALSE)</f>
        <v>0.62213407799999998</v>
      </c>
      <c r="R205" s="176">
        <f>VLOOKUP($D205,'2024Data to Complete Appendix C'!$C$8:$Q$313,14,FALSE)</f>
        <v>2.2999999999999998</v>
      </c>
      <c r="S205" s="177">
        <f>VLOOKUP($D205,'2024Data to Complete Appendix C'!$C$8:$Q$313,15,FALSE)</f>
        <v>6.9823000000000003E-3</v>
      </c>
      <c r="T205" s="175">
        <f>IFERROR(VLOOKUP($D205,'2024_Lodging_by_WUP'!$A:$D,4,FALSE),0)</f>
        <v>0</v>
      </c>
      <c r="U205" s="175">
        <f t="shared" si="5"/>
        <v>0</v>
      </c>
      <c r="V205" s="178" t="str">
        <f>IFERROR(VLOOKUP($D205,Total_DU!$B$5:$AB$171,24,0),0)</f>
        <v>NA</v>
      </c>
      <c r="W205" s="178" t="str">
        <f>IFERROR(VLOOKUP($D205,Total_DU!$B$5:$AB$174,25,0),0)</f>
        <v>NA</v>
      </c>
      <c r="X205" s="178" t="str">
        <f>IFERROR(VLOOKUP($D205,Total_DU!$B$5:$AB$174,26,0),0)</f>
        <v>NA</v>
      </c>
      <c r="Y205" s="178" t="str">
        <f>IFERROR(VLOOKUP($D205,Total_DU!$B$5:$AB$174,27,0),0)</f>
        <v>NA</v>
      </c>
      <c r="Z205" s="178" t="str">
        <f>IFERROR(VLOOKUP($D205,Population!$B$5:$AA$175,23,FALSE),0)</f>
        <v>NA</v>
      </c>
      <c r="AA205" s="178" t="str">
        <f>IFERROR(VLOOKUP($D205,Population!$B$5:$AA$175,24,FALSE),0)</f>
        <v>NA</v>
      </c>
      <c r="AB205" s="178" t="str">
        <f>IFERROR(VLOOKUP($D205,Population!$B$5:$AA$175,25,FALSE),0)</f>
        <v>NA</v>
      </c>
      <c r="AC205" s="178" t="str">
        <f>IFERROR(VLOOKUP($D205,Population!$B$5:$AA$175,26,FALSE),0)</f>
        <v>NA</v>
      </c>
    </row>
    <row r="206" spans="1:29" x14ac:dyDescent="0.2">
      <c r="A206" s="1" t="s">
        <v>604</v>
      </c>
      <c r="B206" s="1" t="s">
        <v>707</v>
      </c>
      <c r="C206" s="1" t="s">
        <v>452</v>
      </c>
      <c r="D206" s="1">
        <v>13043</v>
      </c>
      <c r="E206" s="1">
        <v>2024</v>
      </c>
      <c r="F206" s="175">
        <f>VLOOKUP($D206,'2024Data to Complete Appendix C'!$C$8:$Q$313,2,FALSE)</f>
        <v>2644</v>
      </c>
      <c r="G206" s="175">
        <f>VLOOKUP($D206,'2024Data to Complete Appendix C'!$C$8:$Q$313,3,FALSE)</f>
        <v>1429</v>
      </c>
      <c r="H206" s="175">
        <f>VLOOKUP($D206,'2024Data to Complete Appendix C'!$C$8:$Q$313,4,FALSE)</f>
        <v>0</v>
      </c>
      <c r="I206" s="175">
        <f>VLOOKUP($D206,'2024Data to Complete Appendix C'!$C$8:$Q$313,5,FALSE)</f>
        <v>1750</v>
      </c>
      <c r="J206" s="176">
        <f>VLOOKUP($D206,'2024Data to Complete Appendix C'!$C$8:$Q$313,6,FALSE)</f>
        <v>1.8502400000000001</v>
      </c>
      <c r="K206" s="176">
        <f>VLOOKUP($D206,'2024Data to Complete Appendix C'!$C$8:$Q$313,7,FALSE)</f>
        <v>1.95</v>
      </c>
      <c r="L206" s="176">
        <f>VLOOKUP($D206,'2024Data to Complete Appendix C'!$C$8:$Q$313,8,FALSE)</f>
        <v>1.0459700000000001</v>
      </c>
      <c r="M206" s="175">
        <f>VLOOKUP($D206,'2024Data to Complete Appendix C'!$C$8:$Q$313,9,FALSE)</f>
        <v>62.3369</v>
      </c>
      <c r="N206" s="176">
        <f>VLOOKUP($D206,'2024Data to Complete Appendix C'!$C$8:$Q$313,10,FALSE)</f>
        <v>4.1799299999999998E-2</v>
      </c>
      <c r="O206" s="177">
        <f>VLOOKUP($D206,'2024Data to Complete Appendix C'!$C$8:$Q$313,11,FALSE)</f>
        <v>0.56699999999999995</v>
      </c>
      <c r="P206" s="177">
        <f>VLOOKUP($D206,'2024Data to Complete Appendix C'!$C$8:$Q$313,12,FALSE)</f>
        <v>0.77268000000000003</v>
      </c>
      <c r="Q206" s="177">
        <f>VLOOKUP($D206,'2024Data to Complete Appendix C'!$C$8:$Q$313,13,FALSE)</f>
        <v>0.62213407799999998</v>
      </c>
      <c r="R206" s="176">
        <f>VLOOKUP($D206,'2024Data to Complete Appendix C'!$C$8:$Q$313,14,FALSE)</f>
        <v>2.2999999999999998</v>
      </c>
      <c r="S206" s="177">
        <f>VLOOKUP($D206,'2024Data to Complete Appendix C'!$C$8:$Q$313,15,FALSE)</f>
        <v>-0.487676</v>
      </c>
      <c r="T206" s="175">
        <f>IFERROR(VLOOKUP($D206,'2024_Lodging_by_WUP'!$A:$D,4,FALSE),0)</f>
        <v>0</v>
      </c>
      <c r="U206" s="175">
        <f t="shared" si="5"/>
        <v>0</v>
      </c>
      <c r="V206" s="178">
        <f>IFERROR(VLOOKUP($D206,Total_DU!$B$5:$AB$171,24,0),0)</f>
        <v>1604</v>
      </c>
      <c r="W206" s="178">
        <f>IFERROR(VLOOKUP($D206,Total_DU!$B$5:$AB$174,25,0),0)</f>
        <v>1604</v>
      </c>
      <c r="X206" s="178">
        <f>IFERROR(VLOOKUP($D206,Total_DU!$B$5:$AB$174,26,0),0)</f>
        <v>1604</v>
      </c>
      <c r="Y206" s="178">
        <f>IFERROR(VLOOKUP($D206,Total_DU!$B$5:$AB$174,27,0),0)</f>
        <v>1604</v>
      </c>
      <c r="Z206" s="178">
        <f>IFERROR(VLOOKUP($D206,Population!$B$5:$AA$175,23,FALSE),0)</f>
        <v>3005.2298036632042</v>
      </c>
      <c r="AA206" s="178">
        <f>IFERROR(VLOOKUP($D206,Population!$B$5:$AA$175,24,FALSE),0)</f>
        <v>3005</v>
      </c>
      <c r="AB206" s="178">
        <f>IFERROR(VLOOKUP($D206,Population!$B$5:$AA$175,25,FALSE),0)</f>
        <v>3005</v>
      </c>
      <c r="AC206" s="178">
        <f>IFERROR(VLOOKUP($D206,Population!$B$5:$AA$175,26,FALSE),0)</f>
        <v>2944.7606119748471</v>
      </c>
    </row>
    <row r="207" spans="1:29" x14ac:dyDescent="0.2">
      <c r="A207" s="1" t="s">
        <v>604</v>
      </c>
      <c r="B207" s="1" t="s">
        <v>708</v>
      </c>
      <c r="C207" s="1" t="s">
        <v>709</v>
      </c>
      <c r="D207" s="1">
        <v>99905</v>
      </c>
      <c r="E207" s="1">
        <v>2024</v>
      </c>
      <c r="F207" s="175">
        <f>VLOOKUP($D207,'2024Data to Complete Appendix C'!$C$8:$Q$313,2,FALSE)</f>
        <v>4719</v>
      </c>
      <c r="G207" s="175">
        <f>VLOOKUP($D207,'2024Data to Complete Appendix C'!$C$8:$Q$313,3,FALSE)</f>
        <v>1966</v>
      </c>
      <c r="H207" s="175">
        <f>VLOOKUP($D207,'2024Data to Complete Appendix C'!$C$8:$Q$313,4,FALSE)</f>
        <v>0</v>
      </c>
      <c r="I207" s="175">
        <f>VLOOKUP($D207,'2024Data to Complete Appendix C'!$C$8:$Q$313,5,FALSE)</f>
        <v>2249</v>
      </c>
      <c r="J207" s="176">
        <f>VLOOKUP($D207,'2024Data to Complete Appendix C'!$C$8:$Q$313,6,FALSE)</f>
        <v>2.4003100000000002</v>
      </c>
      <c r="K207" s="176">
        <f>VLOOKUP($D207,'2024Data to Complete Appendix C'!$C$8:$Q$313,7,FALSE)</f>
        <v>1.95</v>
      </c>
      <c r="L207" s="176">
        <f>VLOOKUP($D207,'2024Data to Complete Appendix C'!$C$8:$Q$313,8,FALSE)</f>
        <v>1.0556700000000001</v>
      </c>
      <c r="M207" s="175">
        <f>VLOOKUP($D207,'2024Data to Complete Appendix C'!$C$8:$Q$313,9,FALSE)</f>
        <v>134.71700000000001</v>
      </c>
      <c r="N207" s="176">
        <f>VLOOKUP($D207,'2024Data to Complete Appendix C'!$C$8:$Q$313,10,FALSE)</f>
        <v>6.4129000000000005E-2</v>
      </c>
      <c r="O207" s="177">
        <f>VLOOKUP($D207,'2024Data to Complete Appendix C'!$C$8:$Q$313,11,FALSE)</f>
        <v>0.56699999999999995</v>
      </c>
      <c r="P207" s="177">
        <f>VLOOKUP($D207,'2024Data to Complete Appendix C'!$C$8:$Q$313,12,FALSE)</f>
        <v>0.77268000000000003</v>
      </c>
      <c r="Q207" s="177">
        <f>VLOOKUP($D207,'2024Data to Complete Appendix C'!$C$8:$Q$313,13,FALSE)</f>
        <v>0.62213407799999998</v>
      </c>
      <c r="R207" s="176">
        <f>VLOOKUP($D207,'2024Data to Complete Appendix C'!$C$8:$Q$313,14,FALSE)</f>
        <v>2.2999999999999998</v>
      </c>
      <c r="S207" s="177">
        <f>VLOOKUP($D207,'2024Data to Complete Appendix C'!$C$8:$Q$313,15,FALSE)</f>
        <v>0.61194400000000004</v>
      </c>
      <c r="T207" s="175">
        <f>IFERROR(VLOOKUP($D207,'2024_Lodging_by_WUP'!$A:$D,4,FALSE),0)</f>
        <v>0</v>
      </c>
      <c r="U207" s="175">
        <f t="shared" si="5"/>
        <v>0</v>
      </c>
      <c r="V207" s="178">
        <f>IFERROR(VLOOKUP($D207,Total_DU!$B$5:$AB$171,24,0),0)</f>
        <v>0</v>
      </c>
      <c r="W207" s="178">
        <f>IFERROR(VLOOKUP($D207,Total_DU!$B$5:$AB$174,25,0),0)</f>
        <v>0</v>
      </c>
      <c r="X207" s="178">
        <f>IFERROR(VLOOKUP($D207,Total_DU!$B$5:$AB$174,26,0),0)</f>
        <v>0</v>
      </c>
      <c r="Y207" s="178">
        <f>IFERROR(VLOOKUP($D207,Total_DU!$B$5:$AB$174,27,0),0)</f>
        <v>0</v>
      </c>
      <c r="Z207" s="178">
        <f>IFERROR(VLOOKUP($D207,Population!$B$5:$AA$175,23,FALSE),0)</f>
        <v>0</v>
      </c>
      <c r="AA207" s="178">
        <f>IFERROR(VLOOKUP($D207,Population!$B$5:$AA$175,24,FALSE),0)</f>
        <v>0</v>
      </c>
      <c r="AB207" s="178">
        <f>IFERROR(VLOOKUP($D207,Population!$B$5:$AA$175,25,FALSE),0)</f>
        <v>0</v>
      </c>
      <c r="AC207" s="178">
        <f>IFERROR(VLOOKUP($D207,Population!$B$5:$AA$175,26,FALSE),0)</f>
        <v>0</v>
      </c>
    </row>
    <row r="208" spans="1:29" x14ac:dyDescent="0.2">
      <c r="A208" s="1" t="s">
        <v>710</v>
      </c>
      <c r="B208" s="1" t="s">
        <v>711</v>
      </c>
      <c r="C208" s="1" t="s">
        <v>712</v>
      </c>
      <c r="D208" s="1">
        <v>2923</v>
      </c>
      <c r="E208" s="1">
        <v>2024</v>
      </c>
      <c r="F208" s="175">
        <f>VLOOKUP($D208,'2024Data to Complete Appendix C'!$C$8:$Q$313,2,FALSE)</f>
        <v>83419</v>
      </c>
      <c r="G208" s="175">
        <f>VLOOKUP($D208,'2024Data to Complete Appendix C'!$C$8:$Q$313,3,FALSE)</f>
        <v>34703</v>
      </c>
      <c r="H208" s="175">
        <f>VLOOKUP($D208,'2024Data to Complete Appendix C'!$C$8:$Q$313,4,FALSE)</f>
        <v>174</v>
      </c>
      <c r="I208" s="175">
        <f>VLOOKUP($D208,'2024Data to Complete Appendix C'!$C$8:$Q$313,5,FALSE)</f>
        <v>40207</v>
      </c>
      <c r="J208" s="176">
        <f>VLOOKUP($D208,'2024Data to Complete Appendix C'!$C$8:$Q$313,6,FALSE)</f>
        <v>2.4037999999999999</v>
      </c>
      <c r="K208" s="176">
        <f>VLOOKUP($D208,'2024Data to Complete Appendix C'!$C$8:$Q$313,7,FALSE)</f>
        <v>1.95</v>
      </c>
      <c r="L208" s="176">
        <f>VLOOKUP($D208,'2024Data to Complete Appendix C'!$C$8:$Q$313,8,FALSE)</f>
        <v>1.0683199999999999</v>
      </c>
      <c r="M208" s="175">
        <f>VLOOKUP($D208,'2024Data to Complete Appendix C'!$C$8:$Q$313,9,FALSE)</f>
        <v>2922.5</v>
      </c>
      <c r="N208" s="176">
        <f>VLOOKUP($D208,'2024Data to Complete Appendix C'!$C$8:$Q$313,10,FALSE)</f>
        <v>7.7673500000000006E-2</v>
      </c>
      <c r="O208" s="177">
        <f>VLOOKUP($D208,'2024Data to Complete Appendix C'!$C$8:$Q$313,11,FALSE)</f>
        <v>0.442</v>
      </c>
      <c r="P208" s="177">
        <f>VLOOKUP($D208,'2024Data to Complete Appendix C'!$C$8:$Q$313,12,FALSE)</f>
        <v>0.70704999999999996</v>
      </c>
      <c r="Q208" s="177">
        <f>VLOOKUP($D208,'2024Data to Complete Appendix C'!$C$8:$Q$313,13,FALSE)</f>
        <v>0.68616514699999998</v>
      </c>
      <c r="R208" s="176">
        <f>VLOOKUP($D208,'2024Data to Complete Appendix C'!$C$8:$Q$313,14,FALSE)</f>
        <v>2.7</v>
      </c>
      <c r="S208" s="177">
        <f>VLOOKUP($D208,'2024Data to Complete Appendix C'!$C$8:$Q$313,15,FALSE)</f>
        <v>-0.35104099999999999</v>
      </c>
      <c r="T208" s="175">
        <f>IFERROR(VLOOKUP($D208,'2024_Lodging_by_WUP'!$A:$D,4,FALSE),0)</f>
        <v>246</v>
      </c>
      <c r="U208" s="175">
        <f t="shared" si="5"/>
        <v>455.7508906374</v>
      </c>
      <c r="V208" s="178">
        <f>IFERROR(VLOOKUP($D208,Total_DU!$B$5:$AB$171,24,0),0)</f>
        <v>24114</v>
      </c>
      <c r="W208" s="178">
        <f>IFERROR(VLOOKUP($D208,Total_DU!$B$5:$AB$174,25,0),0)</f>
        <v>24958</v>
      </c>
      <c r="X208" s="178">
        <f>IFERROR(VLOOKUP($D208,Total_DU!$B$5:$AB$174,26,0),0)</f>
        <v>25441</v>
      </c>
      <c r="Y208" s="178">
        <f>IFERROR(VLOOKUP($D208,Total_DU!$B$5:$AB$174,27,0),0)</f>
        <v>26767</v>
      </c>
      <c r="Z208" s="178">
        <f>IFERROR(VLOOKUP($D208,Population!$B$5:$AA$175,23,FALSE),0)</f>
        <v>56768.871464908763</v>
      </c>
      <c r="AA208" s="178">
        <f>IFERROR(VLOOKUP($D208,Population!$B$5:$AA$175,24,FALSE),0)</f>
        <v>58702</v>
      </c>
      <c r="AB208" s="178">
        <f>IFERROR(VLOOKUP($D208,Population!$B$5:$AA$175,25,FALSE),0)</f>
        <v>59976</v>
      </c>
      <c r="AC208" s="178">
        <f>IFERROR(VLOOKUP($D208,Population!$B$5:$AA$175,26,FALSE),0)</f>
        <v>62776.791308280772</v>
      </c>
    </row>
    <row r="209" spans="1:29" x14ac:dyDescent="0.2">
      <c r="A209" s="1" t="s">
        <v>710</v>
      </c>
      <c r="B209" s="1" t="s">
        <v>713</v>
      </c>
      <c r="C209" s="1" t="s">
        <v>714</v>
      </c>
      <c r="D209" s="1">
        <v>4318</v>
      </c>
      <c r="E209" s="1">
        <v>2024</v>
      </c>
      <c r="F209" s="175">
        <f>VLOOKUP($D209,'2024Data to Complete Appendix C'!$C$8:$Q$313,2,FALSE)</f>
        <v>54631</v>
      </c>
      <c r="G209" s="175">
        <f>VLOOKUP($D209,'2024Data to Complete Appendix C'!$C$8:$Q$313,3,FALSE)</f>
        <v>26697</v>
      </c>
      <c r="H209" s="175">
        <f>VLOOKUP($D209,'2024Data to Complete Appendix C'!$C$8:$Q$313,4,FALSE)</f>
        <v>3489</v>
      </c>
      <c r="I209" s="175">
        <f>VLOOKUP($D209,'2024Data to Complete Appendix C'!$C$8:$Q$313,5,FALSE)</f>
        <v>33288</v>
      </c>
      <c r="J209" s="176">
        <f>VLOOKUP($D209,'2024Data to Complete Appendix C'!$C$8:$Q$313,6,FALSE)</f>
        <v>2.0463300000000002</v>
      </c>
      <c r="K209" s="176">
        <f>VLOOKUP($D209,'2024Data to Complete Appendix C'!$C$8:$Q$313,7,FALSE)</f>
        <v>1.95</v>
      </c>
      <c r="L209" s="176">
        <f>VLOOKUP($D209,'2024Data to Complete Appendix C'!$C$8:$Q$313,8,FALSE)</f>
        <v>1.05019</v>
      </c>
      <c r="M209" s="175">
        <f>VLOOKUP($D209,'2024Data to Complete Appendix C'!$C$8:$Q$313,9,FALSE)</f>
        <v>1406.18</v>
      </c>
      <c r="N209" s="176">
        <f>VLOOKUP($D209,'2024Data to Complete Appendix C'!$C$8:$Q$313,10,FALSE)</f>
        <v>5.0036499999999998E-2</v>
      </c>
      <c r="O209" s="177">
        <f>VLOOKUP($D209,'2024Data to Complete Appendix C'!$C$8:$Q$313,11,FALSE)</f>
        <v>0.442</v>
      </c>
      <c r="P209" s="177">
        <f>VLOOKUP($D209,'2024Data to Complete Appendix C'!$C$8:$Q$313,12,FALSE)</f>
        <v>0.70704999999999996</v>
      </c>
      <c r="Q209" s="177">
        <f>VLOOKUP($D209,'2024Data to Complete Appendix C'!$C$8:$Q$313,13,FALSE)</f>
        <v>0.68616514699999998</v>
      </c>
      <c r="R209" s="176">
        <f>VLOOKUP($D209,'2024Data to Complete Appendix C'!$C$8:$Q$313,14,FALSE)</f>
        <v>2.7</v>
      </c>
      <c r="S209" s="177">
        <f>VLOOKUP($D209,'2024Data to Complete Appendix C'!$C$8:$Q$313,15,FALSE)</f>
        <v>0.89852200000000004</v>
      </c>
      <c r="T209" s="175">
        <f>IFERROR(VLOOKUP($D209,'2024_Lodging_by_WUP'!$A:$D,4,FALSE),0)</f>
        <v>3999</v>
      </c>
      <c r="U209" s="175">
        <f t="shared" si="5"/>
        <v>7408.7309417031001</v>
      </c>
      <c r="V209" s="178">
        <f>IFERROR(VLOOKUP($D209,Total_DU!$B$5:$AB$171,24,0),0)</f>
        <v>33066</v>
      </c>
      <c r="W209" s="178">
        <f>IFERROR(VLOOKUP($D209,Total_DU!$B$5:$AB$174,25,0),0)</f>
        <v>33105</v>
      </c>
      <c r="X209" s="178">
        <f>IFERROR(VLOOKUP($D209,Total_DU!$B$5:$AB$174,26,0),0)</f>
        <v>33137</v>
      </c>
      <c r="Y209" s="178">
        <f>IFERROR(VLOOKUP($D209,Total_DU!$B$5:$AB$174,27,0),0)</f>
        <v>33161</v>
      </c>
      <c r="Z209" s="178">
        <f>IFERROR(VLOOKUP($D209,Population!$B$5:$AA$175,23,FALSE),0)</f>
        <v>85511.927649993639</v>
      </c>
      <c r="AA209" s="178">
        <f>IFERROR(VLOOKUP($D209,Population!$B$5:$AA$175,24,FALSE),0)</f>
        <v>84144</v>
      </c>
      <c r="AB209" s="178">
        <f>IFERROR(VLOOKUP($D209,Population!$B$5:$AA$175,25,FALSE),0)</f>
        <v>78959</v>
      </c>
      <c r="AC209" s="178">
        <f>IFERROR(VLOOKUP($D209,Population!$B$5:$AA$175,26,FALSE),0)</f>
        <v>84630.526928847859</v>
      </c>
    </row>
    <row r="210" spans="1:29" x14ac:dyDescent="0.2">
      <c r="A210" s="1" t="s">
        <v>710</v>
      </c>
      <c r="B210" s="1" t="s">
        <v>715</v>
      </c>
      <c r="C210" s="1" t="s">
        <v>716</v>
      </c>
      <c r="D210" s="1">
        <v>4866</v>
      </c>
      <c r="E210" s="1">
        <v>2024</v>
      </c>
      <c r="F210" s="175">
        <f>VLOOKUP($D210,'2024Data to Complete Appendix C'!$C$8:$Q$313,2,FALSE)</f>
        <v>28031</v>
      </c>
      <c r="G210" s="175">
        <f>VLOOKUP($D210,'2024Data to Complete Appendix C'!$C$8:$Q$313,3,FALSE)</f>
        <v>14912</v>
      </c>
      <c r="H210" s="175">
        <f>VLOOKUP($D210,'2024Data to Complete Appendix C'!$C$8:$Q$313,4,FALSE)</f>
        <v>410</v>
      </c>
      <c r="I210" s="175">
        <f>VLOOKUP($D210,'2024Data to Complete Appendix C'!$C$8:$Q$313,5,FALSE)</f>
        <v>21238</v>
      </c>
      <c r="J210" s="176">
        <f>VLOOKUP($D210,'2024Data to Complete Appendix C'!$C$8:$Q$313,6,FALSE)</f>
        <v>1.8797600000000001</v>
      </c>
      <c r="K210" s="176">
        <f>VLOOKUP($D210,'2024Data to Complete Appendix C'!$C$8:$Q$313,7,FALSE)</f>
        <v>1.95</v>
      </c>
      <c r="L210" s="176">
        <f>VLOOKUP($D210,'2024Data to Complete Appendix C'!$C$8:$Q$313,8,FALSE)</f>
        <v>1.1912400000000001</v>
      </c>
      <c r="M210" s="175">
        <f>VLOOKUP($D210,'2024Data to Complete Appendix C'!$C$8:$Q$313,9,FALSE)</f>
        <v>2749.02</v>
      </c>
      <c r="N210" s="176">
        <f>VLOOKUP($D210,'2024Data to Complete Appendix C'!$C$8:$Q$313,10,FALSE)</f>
        <v>0.15565499999999999</v>
      </c>
      <c r="O210" s="177">
        <f>VLOOKUP($D210,'2024Data to Complete Appendix C'!$C$8:$Q$313,11,FALSE)</f>
        <v>0.442</v>
      </c>
      <c r="P210" s="177">
        <f>VLOOKUP($D210,'2024Data to Complete Appendix C'!$C$8:$Q$313,12,FALSE)</f>
        <v>0.70704999999999996</v>
      </c>
      <c r="Q210" s="177">
        <f>VLOOKUP($D210,'2024Data to Complete Appendix C'!$C$8:$Q$313,13,FALSE)</f>
        <v>0.68616514699999998</v>
      </c>
      <c r="R210" s="176">
        <f>VLOOKUP($D210,'2024Data to Complete Appendix C'!$C$8:$Q$313,14,FALSE)</f>
        <v>2.7</v>
      </c>
      <c r="S210" s="177">
        <f>VLOOKUP($D210,'2024Data to Complete Appendix C'!$C$8:$Q$313,15,FALSE)</f>
        <v>-7.52911E-2</v>
      </c>
      <c r="T210" s="175">
        <f>IFERROR(VLOOKUP($D210,'2024_Lodging_by_WUP'!$A:$D,4,FALSE),0)</f>
        <v>659</v>
      </c>
      <c r="U210" s="175">
        <f t="shared" si="5"/>
        <v>1220.8936460571001</v>
      </c>
      <c r="V210" s="178">
        <f>IFERROR(VLOOKUP($D210,Total_DU!$B$5:$AB$171,24,0),0)</f>
        <v>19953</v>
      </c>
      <c r="W210" s="178">
        <f>IFERROR(VLOOKUP($D210,Total_DU!$B$5:$AB$174,25,0),0)</f>
        <v>20201</v>
      </c>
      <c r="X210" s="178">
        <f>IFERROR(VLOOKUP($D210,Total_DU!$B$5:$AB$174,26,0),0)</f>
        <v>20448</v>
      </c>
      <c r="Y210" s="178">
        <f>IFERROR(VLOOKUP($D210,Total_DU!$B$5:$AB$174,27,0),0)</f>
        <v>20859</v>
      </c>
      <c r="Z210" s="178">
        <f>IFERROR(VLOOKUP($D210,Population!$B$5:$AA$175,23,FALSE),0)</f>
        <v>38271.291017509946</v>
      </c>
      <c r="AA210" s="178">
        <f>IFERROR(VLOOKUP($D210,Population!$B$5:$AA$175,24,FALSE),0)</f>
        <v>38260</v>
      </c>
      <c r="AB210" s="178">
        <f>IFERROR(VLOOKUP($D210,Population!$B$5:$AA$175,25,FALSE),0)</f>
        <v>39278</v>
      </c>
      <c r="AC210" s="178">
        <f>IFERROR(VLOOKUP($D210,Population!$B$5:$AA$175,26,FALSE),0)</f>
        <v>39190.514421141299</v>
      </c>
    </row>
    <row r="211" spans="1:29" x14ac:dyDescent="0.2">
      <c r="A211" s="1" t="s">
        <v>710</v>
      </c>
      <c r="B211" s="1" t="s">
        <v>717</v>
      </c>
      <c r="C211" s="1" t="s">
        <v>718</v>
      </c>
      <c r="D211" s="1">
        <v>5393</v>
      </c>
      <c r="E211" s="1">
        <v>2024</v>
      </c>
      <c r="F211" s="175">
        <f>VLOOKUP($D211,'2024Data to Complete Appendix C'!$C$8:$Q$313,2,FALSE)</f>
        <v>26860</v>
      </c>
      <c r="G211" s="175">
        <f>VLOOKUP($D211,'2024Data to Complete Appendix C'!$C$8:$Q$313,3,FALSE)</f>
        <v>15119</v>
      </c>
      <c r="H211" s="175">
        <f>VLOOKUP($D211,'2024Data to Complete Appendix C'!$C$8:$Q$313,4,FALSE)</f>
        <v>1040</v>
      </c>
      <c r="I211" s="175">
        <f>VLOOKUP($D211,'2024Data to Complete Appendix C'!$C$8:$Q$313,5,FALSE)</f>
        <v>21408</v>
      </c>
      <c r="J211" s="176">
        <f>VLOOKUP($D211,'2024Data to Complete Appendix C'!$C$8:$Q$313,6,FALSE)</f>
        <v>1.77657</v>
      </c>
      <c r="K211" s="176">
        <f>VLOOKUP($D211,'2024Data to Complete Appendix C'!$C$8:$Q$313,7,FALSE)</f>
        <v>1.95</v>
      </c>
      <c r="L211" s="176">
        <f>VLOOKUP($D211,'2024Data to Complete Appendix C'!$C$8:$Q$313,8,FALSE)</f>
        <v>1.1871499999999999</v>
      </c>
      <c r="M211" s="175">
        <f>VLOOKUP($D211,'2024Data to Complete Appendix C'!$C$8:$Q$313,9,FALSE)</f>
        <v>2577.91</v>
      </c>
      <c r="N211" s="176">
        <f>VLOOKUP($D211,'2024Data to Complete Appendix C'!$C$8:$Q$313,10,FALSE)</f>
        <v>0.14566999999999999</v>
      </c>
      <c r="O211" s="177">
        <f>VLOOKUP($D211,'2024Data to Complete Appendix C'!$C$8:$Q$313,11,FALSE)</f>
        <v>0.442</v>
      </c>
      <c r="P211" s="177">
        <f>VLOOKUP($D211,'2024Data to Complete Appendix C'!$C$8:$Q$313,12,FALSE)</f>
        <v>0.70704999999999996</v>
      </c>
      <c r="Q211" s="177">
        <f>VLOOKUP($D211,'2024Data to Complete Appendix C'!$C$8:$Q$313,13,FALSE)</f>
        <v>0.68616514699999998</v>
      </c>
      <c r="R211" s="176">
        <f>VLOOKUP($D211,'2024Data to Complete Appendix C'!$C$8:$Q$313,14,FALSE)</f>
        <v>2.7</v>
      </c>
      <c r="S211" s="177">
        <f>VLOOKUP($D211,'2024Data to Complete Appendix C'!$C$8:$Q$313,15,FALSE)</f>
        <v>0.44437700000000002</v>
      </c>
      <c r="T211" s="175">
        <f>IFERROR(VLOOKUP($D211,'2024_Lodging_by_WUP'!$A:$D,4,FALSE),0)</f>
        <v>537</v>
      </c>
      <c r="U211" s="175">
        <f t="shared" si="5"/>
        <v>994.87084663529993</v>
      </c>
      <c r="V211" s="178">
        <f>IFERROR(VLOOKUP($D211,Total_DU!$B$5:$AB$171,24,0),0)</f>
        <v>19671</v>
      </c>
      <c r="W211" s="178">
        <f>IFERROR(VLOOKUP($D211,Total_DU!$B$5:$AB$174,25,0),0)</f>
        <v>20076</v>
      </c>
      <c r="X211" s="178">
        <f>IFERROR(VLOOKUP($D211,Total_DU!$B$5:$AB$174,26,0),0)</f>
        <v>20713</v>
      </c>
      <c r="Y211" s="178">
        <f>IFERROR(VLOOKUP($D211,Total_DU!$B$5:$AB$174,27,0),0)</f>
        <v>21634</v>
      </c>
      <c r="Z211" s="178">
        <f>IFERROR(VLOOKUP($D211,Population!$B$5:$AA$175,23,FALSE),0)</f>
        <v>37172.077526661778</v>
      </c>
      <c r="AA211" s="178">
        <f>IFERROR(VLOOKUP($D211,Population!$B$5:$AA$175,24,FALSE),0)</f>
        <v>37657</v>
      </c>
      <c r="AB211" s="178">
        <f>IFERROR(VLOOKUP($D211,Population!$B$5:$AA$175,25,FALSE),0)</f>
        <v>38136</v>
      </c>
      <c r="AC211" s="178">
        <f>IFERROR(VLOOKUP($D211,Population!$B$5:$AA$175,26,FALSE),0)</f>
        <v>41467.537917905815</v>
      </c>
    </row>
    <row r="212" spans="1:29" x14ac:dyDescent="0.2">
      <c r="A212" s="1" t="s">
        <v>710</v>
      </c>
      <c r="B212" s="1" t="s">
        <v>719</v>
      </c>
      <c r="C212" s="1" t="s">
        <v>720</v>
      </c>
      <c r="D212" s="1">
        <v>5456</v>
      </c>
      <c r="E212" s="1">
        <v>2024</v>
      </c>
      <c r="F212" s="175">
        <f>VLOOKUP($D212,'2024Data to Complete Appendix C'!$C$8:$Q$313,2,FALSE)</f>
        <v>414</v>
      </c>
      <c r="G212" s="175">
        <f>VLOOKUP($D212,'2024Data to Complete Appendix C'!$C$8:$Q$313,3,FALSE)</f>
        <v>245</v>
      </c>
      <c r="H212" s="175">
        <f>VLOOKUP($D212,'2024Data to Complete Appendix C'!$C$8:$Q$313,4,FALSE)</f>
        <v>41</v>
      </c>
      <c r="I212" s="175">
        <f>VLOOKUP($D212,'2024Data to Complete Appendix C'!$C$8:$Q$313,5,FALSE)</f>
        <v>309</v>
      </c>
      <c r="J212" s="176">
        <f>VLOOKUP($D212,'2024Data to Complete Appendix C'!$C$8:$Q$313,6,FALSE)</f>
        <v>1.6898</v>
      </c>
      <c r="K212" s="176">
        <f>VLOOKUP($D212,'2024Data to Complete Appendix C'!$C$8:$Q$313,7,FALSE)</f>
        <v>1.95</v>
      </c>
      <c r="L212" s="176">
        <f>VLOOKUP($D212,'2024Data to Complete Appendix C'!$C$8:$Q$313,8,FALSE)</f>
        <v>1.16574</v>
      </c>
      <c r="M212" s="175">
        <f>VLOOKUP($D212,'2024Data to Complete Appendix C'!$C$8:$Q$313,9,FALSE)</f>
        <v>35.187899999999999</v>
      </c>
      <c r="N212" s="176">
        <f>VLOOKUP($D212,'2024Data to Complete Appendix C'!$C$8:$Q$313,10,FALSE)</f>
        <v>0.125587</v>
      </c>
      <c r="O212" s="177">
        <f>VLOOKUP($D212,'2024Data to Complete Appendix C'!$C$8:$Q$313,11,FALSE)</f>
        <v>0.442</v>
      </c>
      <c r="P212" s="177">
        <f>VLOOKUP($D212,'2024Data to Complete Appendix C'!$C$8:$Q$313,12,FALSE)</f>
        <v>0.70704999999999996</v>
      </c>
      <c r="Q212" s="177">
        <f>VLOOKUP($D212,'2024Data to Complete Appendix C'!$C$8:$Q$313,13,FALSE)</f>
        <v>0.68616514699999998</v>
      </c>
      <c r="R212" s="176">
        <f>VLOOKUP($D212,'2024Data to Complete Appendix C'!$C$8:$Q$313,14,FALSE)</f>
        <v>2.7</v>
      </c>
      <c r="S212" s="177">
        <f>VLOOKUP($D212,'2024Data to Complete Appendix C'!$C$8:$Q$313,15,FALSE)</f>
        <v>0.42163800000000001</v>
      </c>
      <c r="T212" s="175">
        <f>IFERROR(VLOOKUP($D212,'2024_Lodging_by_WUP'!$A:$D,4,FALSE),0)</f>
        <v>0</v>
      </c>
      <c r="U212" s="175">
        <f t="shared" si="5"/>
        <v>0</v>
      </c>
      <c r="V212" s="178">
        <f>IFERROR(VLOOKUP($D212,Total_DU!$B$5:$AB$171,24,0),0)</f>
        <v>0</v>
      </c>
      <c r="W212" s="178">
        <f>IFERROR(VLOOKUP($D212,Total_DU!$B$5:$AB$174,25,0),0)</f>
        <v>0</v>
      </c>
      <c r="X212" s="178">
        <f>IFERROR(VLOOKUP($D212,Total_DU!$B$5:$AB$174,26,0),0)</f>
        <v>0</v>
      </c>
      <c r="Y212" s="178">
        <f>IFERROR(VLOOKUP($D212,Total_DU!$B$5:$AB$174,27,0),0)</f>
        <v>0</v>
      </c>
      <c r="Z212" s="178">
        <f>IFERROR(VLOOKUP($D212,Population!$B$5:$AA$175,23,FALSE),0)</f>
        <v>0</v>
      </c>
      <c r="AA212" s="178">
        <f>IFERROR(VLOOKUP($D212,Population!$B$5:$AA$175,24,FALSE),0)</f>
        <v>0</v>
      </c>
      <c r="AB212" s="178">
        <f>IFERROR(VLOOKUP($D212,Population!$B$5:$AA$175,25,FALSE),0)</f>
        <v>0</v>
      </c>
      <c r="AC212" s="178">
        <f>IFERROR(VLOOKUP($D212,Population!$B$5:$AA$175,26,FALSE),0)</f>
        <v>0</v>
      </c>
    </row>
    <row r="213" spans="1:29" x14ac:dyDescent="0.2">
      <c r="A213" s="1" t="s">
        <v>710</v>
      </c>
      <c r="B213" s="1" t="s">
        <v>721</v>
      </c>
      <c r="C213" s="1" t="s">
        <v>722</v>
      </c>
      <c r="D213" s="1">
        <v>5807</v>
      </c>
      <c r="E213" s="1">
        <v>2024</v>
      </c>
      <c r="F213" s="175">
        <f>VLOOKUP($D213,'2024Data to Complete Appendix C'!$C$8:$Q$313,2,FALSE)</f>
        <v>1743</v>
      </c>
      <c r="G213" s="175">
        <f>VLOOKUP($D213,'2024Data to Complete Appendix C'!$C$8:$Q$313,3,FALSE)</f>
        <v>959</v>
      </c>
      <c r="H213" s="175">
        <f>VLOOKUP($D213,'2024Data to Complete Appendix C'!$C$8:$Q$313,4,FALSE)</f>
        <v>0</v>
      </c>
      <c r="I213" s="175">
        <f>VLOOKUP($D213,'2024Data to Complete Appendix C'!$C$8:$Q$313,5,FALSE)</f>
        <v>1270</v>
      </c>
      <c r="J213" s="176">
        <f>VLOOKUP($D213,'2024Data to Complete Appendix C'!$C$8:$Q$313,6,FALSE)</f>
        <v>1.81752</v>
      </c>
      <c r="K213" s="176">
        <f>VLOOKUP($D213,'2024Data to Complete Appendix C'!$C$8:$Q$313,7,FALSE)</f>
        <v>1.95</v>
      </c>
      <c r="L213" s="176">
        <f>VLOOKUP($D213,'2024Data to Complete Appendix C'!$C$8:$Q$313,8,FALSE)</f>
        <v>1.0655600000000001</v>
      </c>
      <c r="M213" s="175">
        <f>VLOOKUP($D213,'2024Data to Complete Appendix C'!$C$8:$Q$313,9,FALSE)</f>
        <v>58.6008</v>
      </c>
      <c r="N213" s="176">
        <f>VLOOKUP($D213,'2024Data to Complete Appendix C'!$C$8:$Q$313,10,FALSE)</f>
        <v>5.7587199999999998E-2</v>
      </c>
      <c r="O213" s="177">
        <f>VLOOKUP($D213,'2024Data to Complete Appendix C'!$C$8:$Q$313,11,FALSE)</f>
        <v>0.442</v>
      </c>
      <c r="P213" s="177">
        <f>VLOOKUP($D213,'2024Data to Complete Appendix C'!$C$8:$Q$313,12,FALSE)</f>
        <v>0.70704999999999996</v>
      </c>
      <c r="Q213" s="177">
        <f>VLOOKUP($D213,'2024Data to Complete Appendix C'!$C$8:$Q$313,13,FALSE)</f>
        <v>0.68616514699999998</v>
      </c>
      <c r="R213" s="176">
        <f>VLOOKUP($D213,'2024Data to Complete Appendix C'!$C$8:$Q$313,14,FALSE)</f>
        <v>2.7</v>
      </c>
      <c r="S213" s="177">
        <f>VLOOKUP($D213,'2024Data to Complete Appendix C'!$C$8:$Q$313,15,FALSE)</f>
        <v>-0.18449399999999999</v>
      </c>
      <c r="T213" s="175">
        <f>IFERROR(VLOOKUP($D213,'2024_Lodging_by_WUP'!$A:$D,4,FALSE),0)</f>
        <v>0</v>
      </c>
      <c r="U213" s="175">
        <f t="shared" si="5"/>
        <v>0</v>
      </c>
      <c r="V213" s="178">
        <f>IFERROR(VLOOKUP($D213,Total_DU!$B$5:$AB$171,24,0),0)</f>
        <v>969</v>
      </c>
      <c r="W213" s="178">
        <f>IFERROR(VLOOKUP($D213,Total_DU!$B$5:$AB$174,25,0),0)</f>
        <v>969</v>
      </c>
      <c r="X213" s="178">
        <f>IFERROR(VLOOKUP($D213,Total_DU!$B$5:$AB$174,26,0),0)</f>
        <v>969</v>
      </c>
      <c r="Y213" s="178">
        <f>IFERROR(VLOOKUP($D213,Total_DU!$B$5:$AB$174,27,0),0)</f>
        <v>969</v>
      </c>
      <c r="Z213" s="178">
        <f>IFERROR(VLOOKUP($D213,Population!$B$5:$AA$175,23,FALSE),0)</f>
        <v>1828.9621464626184</v>
      </c>
      <c r="AA213" s="178">
        <f>IFERROR(VLOOKUP($D213,Population!$B$5:$AA$175,24,FALSE),0)</f>
        <v>1829</v>
      </c>
      <c r="AB213" s="178">
        <f>IFERROR(VLOOKUP($D213,Population!$B$5:$AA$175,25,FALSE),0)</f>
        <v>1829</v>
      </c>
      <c r="AC213" s="178">
        <f>IFERROR(VLOOKUP($D213,Population!$B$5:$AA$175,26,FALSE),0)</f>
        <v>1736.6908985961468</v>
      </c>
    </row>
    <row r="214" spans="1:29" x14ac:dyDescent="0.2">
      <c r="A214" s="1" t="s">
        <v>710</v>
      </c>
      <c r="B214" s="1" t="s">
        <v>723</v>
      </c>
      <c r="C214" s="1" t="s">
        <v>724</v>
      </c>
      <c r="D214" s="1">
        <v>7448</v>
      </c>
      <c r="E214" s="1">
        <v>2024</v>
      </c>
      <c r="F214" s="175">
        <f>VLOOKUP($D214,'2024Data to Complete Appendix C'!$C$8:$Q$313,2,FALSE)</f>
        <v>562</v>
      </c>
      <c r="G214" s="175">
        <f>VLOOKUP($D214,'2024Data to Complete Appendix C'!$C$8:$Q$313,3,FALSE)</f>
        <v>293</v>
      </c>
      <c r="H214" s="175">
        <f>VLOOKUP($D214,'2024Data to Complete Appendix C'!$C$8:$Q$313,4,FALSE)</f>
        <v>0</v>
      </c>
      <c r="I214" s="175">
        <f>VLOOKUP($D214,'2024Data to Complete Appendix C'!$C$8:$Q$313,5,FALSE)</f>
        <v>1248</v>
      </c>
      <c r="J214" s="176">
        <f>VLOOKUP($D214,'2024Data to Complete Appendix C'!$C$8:$Q$313,6,FALSE)</f>
        <v>1.9180900000000001</v>
      </c>
      <c r="K214" s="176">
        <f>VLOOKUP($D214,'2024Data to Complete Appendix C'!$C$8:$Q$313,7,FALSE)</f>
        <v>1.95</v>
      </c>
      <c r="L214" s="176">
        <f>VLOOKUP($D214,'2024Data to Complete Appendix C'!$C$8:$Q$313,8,FALSE)</f>
        <v>1.0476700000000001</v>
      </c>
      <c r="M214" s="175">
        <f>VLOOKUP($D214,'2024Data to Complete Appendix C'!$C$8:$Q$313,9,FALSE)</f>
        <v>13.7393</v>
      </c>
      <c r="N214" s="176">
        <f>VLOOKUP($D214,'2024Data to Complete Appendix C'!$C$8:$Q$313,10,FALSE)</f>
        <v>4.4791299999999999E-2</v>
      </c>
      <c r="O214" s="177">
        <f>VLOOKUP($D214,'2024Data to Complete Appendix C'!$C$8:$Q$313,11,FALSE)</f>
        <v>0.442</v>
      </c>
      <c r="P214" s="177">
        <f>VLOOKUP($D214,'2024Data to Complete Appendix C'!$C$8:$Q$313,12,FALSE)</f>
        <v>0.70704999999999996</v>
      </c>
      <c r="Q214" s="177">
        <f>VLOOKUP($D214,'2024Data to Complete Appendix C'!$C$8:$Q$313,13,FALSE)</f>
        <v>0.68616514699999998</v>
      </c>
      <c r="R214" s="176">
        <f>VLOOKUP($D214,'2024Data to Complete Appendix C'!$C$8:$Q$313,14,FALSE)</f>
        <v>2.7</v>
      </c>
      <c r="S214" s="177">
        <f>VLOOKUP($D214,'2024Data to Complete Appendix C'!$C$8:$Q$313,15,FALSE)</f>
        <v>0.48255599999999998</v>
      </c>
      <c r="T214" s="175">
        <f>IFERROR(VLOOKUP($D214,'2024_Lodging_by_WUP'!$A:$D,4,FALSE),0)</f>
        <v>0</v>
      </c>
      <c r="U214" s="175">
        <f t="shared" si="5"/>
        <v>0</v>
      </c>
      <c r="V214" s="178">
        <f>IFERROR(VLOOKUP($D214,Total_DU!$B$5:$AB$171,24,0),0)</f>
        <v>1519</v>
      </c>
      <c r="W214" s="178">
        <f>IFERROR(VLOOKUP($D214,Total_DU!$B$5:$AB$174,25,0),0)</f>
        <v>1519</v>
      </c>
      <c r="X214" s="178">
        <f>IFERROR(VLOOKUP($D214,Total_DU!$B$5:$AB$174,26,0),0)</f>
        <v>1519</v>
      </c>
      <c r="Y214" s="178">
        <f>IFERROR(VLOOKUP($D214,Total_DU!$B$5:$AB$174,27,0),0)</f>
        <v>1519</v>
      </c>
      <c r="Z214" s="178">
        <f>IFERROR(VLOOKUP($D214,Population!$B$5:$AA$175,23,FALSE),0)</f>
        <v>1339</v>
      </c>
      <c r="AA214" s="178">
        <f>IFERROR(VLOOKUP($D214,Population!$B$5:$AA$175,24,FALSE),0)</f>
        <v>1339</v>
      </c>
      <c r="AB214" s="178">
        <f>IFERROR(VLOOKUP($D214,Population!$B$5:$AA$175,25,FALSE),0)</f>
        <v>1021</v>
      </c>
      <c r="AC214" s="178">
        <f>IFERROR(VLOOKUP($D214,Population!$B$5:$AA$175,26,FALSE),0)</f>
        <v>3051.4055209640883</v>
      </c>
    </row>
    <row r="215" spans="1:29" x14ac:dyDescent="0.2">
      <c r="A215" s="1" t="s">
        <v>710</v>
      </c>
      <c r="B215" s="1" t="s">
        <v>725</v>
      </c>
      <c r="C215" s="1" t="s">
        <v>726</v>
      </c>
      <c r="D215" s="1">
        <v>8836</v>
      </c>
      <c r="E215" s="1">
        <v>2024</v>
      </c>
      <c r="F215" s="175">
        <f>VLOOKUP($D215,'2024Data to Complete Appendix C'!$C$8:$Q$313,2,FALSE)</f>
        <v>227655</v>
      </c>
      <c r="G215" s="175">
        <f>VLOOKUP($D215,'2024Data to Complete Appendix C'!$C$8:$Q$313,3,FALSE)</f>
        <v>108048</v>
      </c>
      <c r="H215" s="175">
        <f>VLOOKUP($D215,'2024Data to Complete Appendix C'!$C$8:$Q$313,4,FALSE)</f>
        <v>3394</v>
      </c>
      <c r="I215" s="175">
        <f>VLOOKUP($D215,'2024Data to Complete Appendix C'!$C$8:$Q$313,5,FALSE)</f>
        <v>135682</v>
      </c>
      <c r="J215" s="176">
        <f>VLOOKUP($D215,'2024Data to Complete Appendix C'!$C$8:$Q$313,6,FALSE)</f>
        <v>2.1069800000000001</v>
      </c>
      <c r="K215" s="176">
        <f>VLOOKUP($D215,'2024Data to Complete Appendix C'!$C$8:$Q$313,7,FALSE)</f>
        <v>1.95</v>
      </c>
      <c r="L215" s="176">
        <f>VLOOKUP($D215,'2024Data to Complete Appendix C'!$C$8:$Q$313,8,FALSE)</f>
        <v>1.0724800000000001</v>
      </c>
      <c r="M215" s="175">
        <f>VLOOKUP($D215,'2024Data to Complete Appendix C'!$C$8:$Q$313,9,FALSE)</f>
        <v>8461.67</v>
      </c>
      <c r="N215" s="176">
        <f>VLOOKUP($D215,'2024Data to Complete Appendix C'!$C$8:$Q$313,10,FALSE)</f>
        <v>7.2626399999999994E-2</v>
      </c>
      <c r="O215" s="177">
        <f>VLOOKUP($D215,'2024Data to Complete Appendix C'!$C$8:$Q$313,11,FALSE)</f>
        <v>0.442</v>
      </c>
      <c r="P215" s="177">
        <f>VLOOKUP($D215,'2024Data to Complete Appendix C'!$C$8:$Q$313,12,FALSE)</f>
        <v>0.70704999999999996</v>
      </c>
      <c r="Q215" s="177">
        <f>VLOOKUP($D215,'2024Data to Complete Appendix C'!$C$8:$Q$313,13,FALSE)</f>
        <v>0.68616514699999998</v>
      </c>
      <c r="R215" s="176">
        <f>VLOOKUP($D215,'2024Data to Complete Appendix C'!$C$8:$Q$313,14,FALSE)</f>
        <v>2.7</v>
      </c>
      <c r="S215" s="177">
        <f>VLOOKUP($D215,'2024Data to Complete Appendix C'!$C$8:$Q$313,15,FALSE)</f>
        <v>-7.8014E-2</v>
      </c>
      <c r="T215" s="175">
        <f>IFERROR(VLOOKUP($D215,'2024_Lodging_by_WUP'!$A:$D,4,FALSE),0)</f>
        <v>2921</v>
      </c>
      <c r="U215" s="175">
        <f t="shared" si="5"/>
        <v>5411.5786648449002</v>
      </c>
      <c r="V215" s="178">
        <f>IFERROR(VLOOKUP($D215,Total_DU!$B$5:$AB$171,24,0),0)</f>
        <v>119241</v>
      </c>
      <c r="W215" s="178">
        <f>IFERROR(VLOOKUP($D215,Total_DU!$B$5:$AB$174,25,0),0)</f>
        <v>122157</v>
      </c>
      <c r="X215" s="178">
        <f>IFERROR(VLOOKUP($D215,Total_DU!$B$5:$AB$174,26,0),0)</f>
        <v>125373</v>
      </c>
      <c r="Y215" s="178">
        <f>IFERROR(VLOOKUP($D215,Total_DU!$B$5:$AB$174,27,0),0)</f>
        <v>128431</v>
      </c>
      <c r="Z215" s="178">
        <f>IFERROR(VLOOKUP($D215,Population!$B$5:$AA$175,23,FALSE),0)</f>
        <v>244663</v>
      </c>
      <c r="AA215" s="178">
        <f>IFERROR(VLOOKUP($D215,Population!$B$5:$AA$175,24,FALSE),0)</f>
        <v>257733</v>
      </c>
      <c r="AB215" s="178">
        <f>IFERROR(VLOOKUP($D215,Population!$B$5:$AA$175,25,FALSE),0)</f>
        <v>267171</v>
      </c>
      <c r="AC215" s="178">
        <f>IFERROR(VLOOKUP($D215,Population!$B$5:$AA$175,26,FALSE),0)</f>
        <v>272267.35938031273</v>
      </c>
    </row>
    <row r="216" spans="1:29" x14ac:dyDescent="0.2">
      <c r="A216" s="1" t="s">
        <v>710</v>
      </c>
      <c r="B216" s="1" t="s">
        <v>727</v>
      </c>
      <c r="C216" s="1" t="s">
        <v>728</v>
      </c>
      <c r="D216" s="1">
        <v>99914</v>
      </c>
      <c r="E216" s="1">
        <v>2024</v>
      </c>
      <c r="F216" s="175">
        <f>VLOOKUP($D216,'2024Data to Complete Appendix C'!$C$8:$Q$313,2,FALSE)</f>
        <v>13575</v>
      </c>
      <c r="G216" s="175">
        <f>VLOOKUP($D216,'2024Data to Complete Appendix C'!$C$8:$Q$313,3,FALSE)</f>
        <v>6688</v>
      </c>
      <c r="H216" s="175">
        <f>VLOOKUP($D216,'2024Data to Complete Appendix C'!$C$8:$Q$313,4,FALSE)</f>
        <v>112</v>
      </c>
      <c r="I216" s="175">
        <f>VLOOKUP($D216,'2024Data to Complete Appendix C'!$C$8:$Q$313,5,FALSE)</f>
        <v>7610</v>
      </c>
      <c r="J216" s="176">
        <f>VLOOKUP($D216,'2024Data to Complete Appendix C'!$C$8:$Q$313,6,FALSE)</f>
        <v>2.0297499999999999</v>
      </c>
      <c r="K216" s="176">
        <f>VLOOKUP($D216,'2024Data to Complete Appendix C'!$C$8:$Q$313,7,FALSE)</f>
        <v>1.95</v>
      </c>
      <c r="L216" s="176">
        <f>VLOOKUP($D216,'2024Data to Complete Appendix C'!$C$8:$Q$313,8,FALSE)</f>
        <v>1.0457000000000001</v>
      </c>
      <c r="M216" s="175">
        <f>VLOOKUP($D216,'2024Data to Complete Appendix C'!$C$8:$Q$313,9,FALSE)</f>
        <v>318.17399999999998</v>
      </c>
      <c r="N216" s="176">
        <f>VLOOKUP($D216,'2024Data to Complete Appendix C'!$C$8:$Q$313,10,FALSE)</f>
        <v>4.54134E-2</v>
      </c>
      <c r="O216" s="177">
        <f>VLOOKUP($D216,'2024Data to Complete Appendix C'!$C$8:$Q$313,11,FALSE)</f>
        <v>0.442</v>
      </c>
      <c r="P216" s="177">
        <f>VLOOKUP($D216,'2024Data to Complete Appendix C'!$C$8:$Q$313,12,FALSE)</f>
        <v>0.70704999999999996</v>
      </c>
      <c r="Q216" s="177">
        <f>VLOOKUP($D216,'2024Data to Complete Appendix C'!$C$8:$Q$313,13,FALSE)</f>
        <v>0.68616514699999998</v>
      </c>
      <c r="R216" s="176">
        <f>VLOOKUP($D216,'2024Data to Complete Appendix C'!$C$8:$Q$313,14,FALSE)</f>
        <v>2.7</v>
      </c>
      <c r="S216" s="177">
        <f>VLOOKUP($D216,'2024Data to Complete Appendix C'!$C$8:$Q$313,15,FALSE)</f>
        <v>-0.11930200000000001</v>
      </c>
      <c r="T216" s="175">
        <f>IFERROR(VLOOKUP($D216,'2024_Lodging_by_WUP'!$A:$D,4,FALSE),0)</f>
        <v>18</v>
      </c>
      <c r="U216" s="175">
        <f t="shared" si="5"/>
        <v>33.347626144199999</v>
      </c>
      <c r="V216" s="178">
        <f>IFERROR(VLOOKUP($D216,Total_DU!$B$5:$AB$171,24,0),0)</f>
        <v>0</v>
      </c>
      <c r="W216" s="178">
        <f>IFERROR(VLOOKUP($D216,Total_DU!$B$5:$AB$174,25,0),0)</f>
        <v>0</v>
      </c>
      <c r="X216" s="178">
        <f>IFERROR(VLOOKUP($D216,Total_DU!$B$5:$AB$174,26,0),0)</f>
        <v>0</v>
      </c>
      <c r="Y216" s="178">
        <f>IFERROR(VLOOKUP($D216,Total_DU!$B$5:$AB$174,27,0),0)</f>
        <v>0</v>
      </c>
      <c r="Z216" s="178">
        <f>IFERROR(VLOOKUP($D216,Population!$B$5:$AA$175,23,FALSE),0)</f>
        <v>0</v>
      </c>
      <c r="AA216" s="178">
        <f>IFERROR(VLOOKUP($D216,Population!$B$5:$AA$175,24,FALSE),0)</f>
        <v>0</v>
      </c>
      <c r="AB216" s="178">
        <f>IFERROR(VLOOKUP($D216,Population!$B$5:$AA$175,25,FALSE),0)</f>
        <v>0</v>
      </c>
      <c r="AC216" s="178">
        <f>IFERROR(VLOOKUP($D216,Population!$B$5:$AA$175,26,FALSE),0)</f>
        <v>0</v>
      </c>
    </row>
    <row r="217" spans="1:29" x14ac:dyDescent="0.2">
      <c r="A217" s="1" t="s">
        <v>729</v>
      </c>
      <c r="B217" s="1" t="s">
        <v>730</v>
      </c>
      <c r="C217" s="1" t="s">
        <v>731</v>
      </c>
      <c r="D217" s="1">
        <v>1368</v>
      </c>
      <c r="E217" s="1">
        <v>2024</v>
      </c>
      <c r="F217" s="175">
        <f>VLOOKUP($D217,'2024Data to Complete Appendix C'!$C$8:$Q$313,2,FALSE)</f>
        <v>5392</v>
      </c>
      <c r="G217" s="175">
        <f>VLOOKUP($D217,'2024Data to Complete Appendix C'!$C$8:$Q$313,3,FALSE)</f>
        <v>2391</v>
      </c>
      <c r="H217" s="175">
        <f>VLOOKUP($D217,'2024Data to Complete Appendix C'!$C$8:$Q$313,4,FALSE)</f>
        <v>0</v>
      </c>
      <c r="I217" s="175">
        <f>VLOOKUP($D217,'2024Data to Complete Appendix C'!$C$8:$Q$313,5,FALSE)</f>
        <v>3106</v>
      </c>
      <c r="J217" s="176">
        <f>VLOOKUP($D217,'2024Data to Complete Appendix C'!$C$8:$Q$313,6,FALSE)</f>
        <v>2.2551199999999998</v>
      </c>
      <c r="K217" s="176">
        <f>VLOOKUP($D217,'2024Data to Complete Appendix C'!$C$8:$Q$313,7,FALSE)</f>
        <v>1.95</v>
      </c>
      <c r="L217" s="176">
        <f>VLOOKUP($D217,'2024Data to Complete Appendix C'!$C$8:$Q$313,8,FALSE)</f>
        <v>1.2288600000000001</v>
      </c>
      <c r="M217" s="175">
        <f>VLOOKUP($D217,'2024Data to Complete Appendix C'!$C$8:$Q$313,9,FALSE)</f>
        <v>632.83500000000004</v>
      </c>
      <c r="N217" s="176">
        <f>VLOOKUP($D217,'2024Data to Complete Appendix C'!$C$8:$Q$313,10,FALSE)</f>
        <v>0.209282</v>
      </c>
      <c r="O217" s="177">
        <f>VLOOKUP($D217,'2024Data to Complete Appendix C'!$C$8:$Q$313,11,FALSE)</f>
        <v>0.56699999999999995</v>
      </c>
      <c r="P217" s="177">
        <f>VLOOKUP($D217,'2024Data to Complete Appendix C'!$C$8:$Q$313,12,FALSE)</f>
        <v>0.77268000000000003</v>
      </c>
      <c r="Q217" s="177">
        <f>VLOOKUP($D217,'2024Data to Complete Appendix C'!$C$8:$Q$313,13,FALSE)</f>
        <v>0.68727722000000002</v>
      </c>
      <c r="R217" s="176">
        <f>VLOOKUP($D217,'2024Data to Complete Appendix C'!$C$8:$Q$313,14,FALSE)</f>
        <v>2.2999999999999998</v>
      </c>
      <c r="S217" s="177">
        <f>VLOOKUP($D217,'2024Data to Complete Appendix C'!$C$8:$Q$313,15,FALSE)</f>
        <v>-0.66216200000000003</v>
      </c>
      <c r="T217" s="175">
        <f>IFERROR(VLOOKUP($D217,'2024_Lodging_by_WUP'!$A:$D,4,FALSE),0)</f>
        <v>24</v>
      </c>
      <c r="U217" s="175">
        <f t="shared" si="5"/>
        <v>37.937702543999997</v>
      </c>
      <c r="V217" s="178">
        <f>IFERROR(VLOOKUP($D217,Total_DU!$B$5:$AB$171,24,0),0)</f>
        <v>2144</v>
      </c>
      <c r="W217" s="178">
        <f>IFERROR(VLOOKUP($D217,Total_DU!$B$5:$AB$174,25,0),0)</f>
        <v>2120</v>
      </c>
      <c r="X217" s="178">
        <f>IFERROR(VLOOKUP($D217,Total_DU!$B$5:$AB$174,26,0),0)</f>
        <v>2150</v>
      </c>
      <c r="Y217" s="178">
        <f>IFERROR(VLOOKUP($D217,Total_DU!$B$5:$AB$174,27,0),0)</f>
        <v>2368</v>
      </c>
      <c r="Z217" s="178">
        <f>IFERROR(VLOOKUP($D217,Population!$B$5:$AA$175,23,FALSE),0)</f>
        <v>4519.5664442919442</v>
      </c>
      <c r="AA217" s="178">
        <f>IFERROR(VLOOKUP($D217,Population!$B$5:$AA$175,24,FALSE),0)</f>
        <v>4466</v>
      </c>
      <c r="AB217" s="178">
        <f>IFERROR(VLOOKUP($D217,Population!$B$5:$AA$175,25,FALSE),0)</f>
        <v>4502</v>
      </c>
      <c r="AC217" s="178">
        <f>IFERROR(VLOOKUP($D217,Population!$B$5:$AA$175,26,FALSE),0)</f>
        <v>4970.7869247604795</v>
      </c>
    </row>
    <row r="218" spans="1:29" x14ac:dyDescent="0.2">
      <c r="A218" s="1" t="s">
        <v>729</v>
      </c>
      <c r="B218" s="1" t="s">
        <v>732</v>
      </c>
      <c r="C218" s="1" t="s">
        <v>733</v>
      </c>
      <c r="D218" s="1">
        <v>6519</v>
      </c>
      <c r="E218" s="1">
        <v>2024</v>
      </c>
      <c r="F218" s="175">
        <f>VLOOKUP($D218,'2024Data to Complete Appendix C'!$C$8:$Q$313,2,FALSE)</f>
        <v>8719</v>
      </c>
      <c r="G218" s="175">
        <f>VLOOKUP($D218,'2024Data to Complete Appendix C'!$C$8:$Q$313,3,FALSE)</f>
        <v>3692</v>
      </c>
      <c r="H218" s="175">
        <f>VLOOKUP($D218,'2024Data to Complete Appendix C'!$C$8:$Q$313,4,FALSE)</f>
        <v>389</v>
      </c>
      <c r="I218" s="175">
        <f>VLOOKUP($D218,'2024Data to Complete Appendix C'!$C$8:$Q$313,5,FALSE)</f>
        <v>4554</v>
      </c>
      <c r="J218" s="176">
        <f>VLOOKUP($D218,'2024Data to Complete Appendix C'!$C$8:$Q$313,6,FALSE)</f>
        <v>2.3615900000000001</v>
      </c>
      <c r="K218" s="176">
        <f>VLOOKUP($D218,'2024Data to Complete Appendix C'!$C$8:$Q$313,7,FALSE)</f>
        <v>1.95</v>
      </c>
      <c r="L218" s="176">
        <f>VLOOKUP($D218,'2024Data to Complete Appendix C'!$C$8:$Q$313,8,FALSE)</f>
        <v>1.15039</v>
      </c>
      <c r="M218" s="175">
        <f>VLOOKUP($D218,'2024Data to Complete Appendix C'!$C$8:$Q$313,9,FALSE)</f>
        <v>672.44799999999998</v>
      </c>
      <c r="N218" s="176">
        <f>VLOOKUP($D218,'2024Data to Complete Appendix C'!$C$8:$Q$313,10,FALSE)</f>
        <v>0.15407399999999999</v>
      </c>
      <c r="O218" s="177">
        <f>VLOOKUP($D218,'2024Data to Complete Appendix C'!$C$8:$Q$313,11,FALSE)</f>
        <v>0.56699999999999995</v>
      </c>
      <c r="P218" s="177">
        <f>VLOOKUP($D218,'2024Data to Complete Appendix C'!$C$8:$Q$313,12,FALSE)</f>
        <v>0.77268000000000003</v>
      </c>
      <c r="Q218" s="177">
        <f>VLOOKUP($D218,'2024Data to Complete Appendix C'!$C$8:$Q$313,13,FALSE)</f>
        <v>0.68727722000000002</v>
      </c>
      <c r="R218" s="176">
        <f>VLOOKUP($D218,'2024Data to Complete Appendix C'!$C$8:$Q$313,14,FALSE)</f>
        <v>2.2999999999999998</v>
      </c>
      <c r="S218" s="177">
        <f>VLOOKUP($D218,'2024Data to Complete Appendix C'!$C$8:$Q$313,15,FALSE)</f>
        <v>-0.42970000000000003</v>
      </c>
      <c r="T218" s="175">
        <f>IFERROR(VLOOKUP($D218,'2024_Lodging_by_WUP'!$A:$D,4,FALSE),0)</f>
        <v>117</v>
      </c>
      <c r="U218" s="175">
        <f t="shared" si="5"/>
        <v>184.94629990199999</v>
      </c>
      <c r="V218" s="178">
        <f>IFERROR(VLOOKUP($D218,Total_DU!$B$5:$AB$171,24,0),0)</f>
        <v>1626</v>
      </c>
      <c r="W218" s="178">
        <f>IFERROR(VLOOKUP($D218,Total_DU!$B$5:$AB$174,25,0),0)</f>
        <v>1636</v>
      </c>
      <c r="X218" s="178">
        <f>IFERROR(VLOOKUP($D218,Total_DU!$B$5:$AB$174,26,0),0)</f>
        <v>1686</v>
      </c>
      <c r="Y218" s="178">
        <f>IFERROR(VLOOKUP($D218,Total_DU!$B$5:$AB$174,27,0),0)</f>
        <v>1791</v>
      </c>
      <c r="Z218" s="178">
        <f>IFERROR(VLOOKUP($D218,Population!$B$5:$AA$175,23,FALSE),0)</f>
        <v>3891.9206444307692</v>
      </c>
      <c r="AA218" s="178">
        <f>IFERROR(VLOOKUP($D218,Population!$B$5:$AA$175,24,FALSE),0)</f>
        <v>3903</v>
      </c>
      <c r="AB218" s="178">
        <f>IFERROR(VLOOKUP($D218,Population!$B$5:$AA$175,25,FALSE),0)</f>
        <v>3931</v>
      </c>
      <c r="AC218" s="178">
        <f>IFERROR(VLOOKUP($D218,Population!$B$5:$AA$175,26,FALSE),0)</f>
        <v>4330.9546486669306</v>
      </c>
    </row>
    <row r="219" spans="1:29" x14ac:dyDescent="0.2">
      <c r="A219" s="1" t="s">
        <v>729</v>
      </c>
      <c r="B219" s="1" t="s">
        <v>734</v>
      </c>
      <c r="C219" s="1" t="s">
        <v>735</v>
      </c>
      <c r="D219" s="1">
        <v>7185</v>
      </c>
      <c r="E219" s="1">
        <v>2024</v>
      </c>
      <c r="F219" s="175">
        <f>VLOOKUP($D219,'2024Data to Complete Appendix C'!$C$8:$Q$313,2,FALSE)</f>
        <v>2991</v>
      </c>
      <c r="G219" s="175">
        <f>VLOOKUP($D219,'2024Data to Complete Appendix C'!$C$8:$Q$313,3,FALSE)</f>
        <v>1172</v>
      </c>
      <c r="H219" s="175">
        <f>VLOOKUP($D219,'2024Data to Complete Appendix C'!$C$8:$Q$313,4,FALSE)</f>
        <v>0</v>
      </c>
      <c r="I219" s="175">
        <f>VLOOKUP($D219,'2024Data to Complete Appendix C'!$C$8:$Q$313,5,FALSE)</f>
        <v>1513</v>
      </c>
      <c r="J219" s="176">
        <f>VLOOKUP($D219,'2024Data to Complete Appendix C'!$C$8:$Q$313,6,FALSE)</f>
        <v>2.5520499999999999</v>
      </c>
      <c r="K219" s="176">
        <f>VLOOKUP($D219,'2024Data to Complete Appendix C'!$C$8:$Q$313,7,FALSE)</f>
        <v>1.95</v>
      </c>
      <c r="L219" s="176">
        <f>VLOOKUP($D219,'2024Data to Complete Appendix C'!$C$8:$Q$313,8,FALSE)</f>
        <v>1.0651900000000001</v>
      </c>
      <c r="M219" s="175">
        <f>VLOOKUP($D219,'2024Data to Complete Appendix C'!$C$8:$Q$313,9,FALSE)</f>
        <v>99.989199999999997</v>
      </c>
      <c r="N219" s="176">
        <f>VLOOKUP($D219,'2024Data to Complete Appendix C'!$C$8:$Q$313,10,FALSE)</f>
        <v>7.8608499999999998E-2</v>
      </c>
      <c r="O219" s="177">
        <f>VLOOKUP($D219,'2024Data to Complete Appendix C'!$C$8:$Q$313,11,FALSE)</f>
        <v>0.56699999999999995</v>
      </c>
      <c r="P219" s="177">
        <f>VLOOKUP($D219,'2024Data to Complete Appendix C'!$C$8:$Q$313,12,FALSE)</f>
        <v>0.77268000000000003</v>
      </c>
      <c r="Q219" s="177">
        <f>VLOOKUP($D219,'2024Data to Complete Appendix C'!$C$8:$Q$313,13,FALSE)</f>
        <v>0.68727722000000002</v>
      </c>
      <c r="R219" s="176">
        <f>VLOOKUP($D219,'2024Data to Complete Appendix C'!$C$8:$Q$313,14,FALSE)</f>
        <v>2.2999999999999998</v>
      </c>
      <c r="S219" s="177">
        <f>VLOOKUP($D219,'2024Data to Complete Appendix C'!$C$8:$Q$313,15,FALSE)</f>
        <v>-0.66073499999999996</v>
      </c>
      <c r="T219" s="175">
        <f>IFERROR(VLOOKUP($D219,'2024_Lodging_by_WUP'!$A:$D,4,FALSE),0)</f>
        <v>0</v>
      </c>
      <c r="U219" s="175">
        <f t="shared" si="5"/>
        <v>0</v>
      </c>
      <c r="V219" s="178">
        <f>IFERROR(VLOOKUP($D219,Total_DU!$B$5:$AB$171,24,0),0)</f>
        <v>326</v>
      </c>
      <c r="W219" s="178">
        <f>IFERROR(VLOOKUP($D219,Total_DU!$B$5:$AB$174,25,0),0)</f>
        <v>400</v>
      </c>
      <c r="X219" s="178">
        <f>IFERROR(VLOOKUP($D219,Total_DU!$B$5:$AB$174,26,0),0)</f>
        <v>442</v>
      </c>
      <c r="Y219" s="178">
        <f>IFERROR(VLOOKUP($D219,Total_DU!$B$5:$AB$174,27,0),0)</f>
        <v>923</v>
      </c>
      <c r="Z219" s="178">
        <f>IFERROR(VLOOKUP($D219,Population!$B$5:$AA$175,23,FALSE),0)</f>
        <v>823.24036977479932</v>
      </c>
      <c r="AA219" s="178">
        <f>IFERROR(VLOOKUP($D219,Population!$B$5:$AA$175,24,FALSE),0)</f>
        <v>1010</v>
      </c>
      <c r="AB219" s="178">
        <f>IFERROR(VLOOKUP($D219,Population!$B$5:$AA$175,25,FALSE),0)</f>
        <v>1589</v>
      </c>
      <c r="AC219" s="178">
        <f>IFERROR(VLOOKUP($D219,Population!$B$5:$AA$175,26,FALSE),0)</f>
        <v>2279.6953983545159</v>
      </c>
    </row>
    <row r="220" spans="1:29" x14ac:dyDescent="0.2">
      <c r="A220" s="1" t="s">
        <v>729</v>
      </c>
      <c r="B220" s="1" t="s">
        <v>736</v>
      </c>
      <c r="C220" s="1" t="s">
        <v>737</v>
      </c>
      <c r="D220" s="1">
        <v>7799</v>
      </c>
      <c r="E220" s="1">
        <v>2024</v>
      </c>
      <c r="F220" s="175">
        <f>VLOOKUP($D220,'2024Data to Complete Appendix C'!$C$8:$Q$313,2,FALSE)</f>
        <v>784</v>
      </c>
      <c r="G220" s="175">
        <f>VLOOKUP($D220,'2024Data to Complete Appendix C'!$C$8:$Q$313,3,FALSE)</f>
        <v>334</v>
      </c>
      <c r="H220" s="175">
        <f>VLOOKUP($D220,'2024Data to Complete Appendix C'!$C$8:$Q$313,4,FALSE)</f>
        <v>0</v>
      </c>
      <c r="I220" s="175">
        <f>VLOOKUP($D220,'2024Data to Complete Appendix C'!$C$8:$Q$313,5,FALSE)</f>
        <v>375</v>
      </c>
      <c r="J220" s="176">
        <f>VLOOKUP($D220,'2024Data to Complete Appendix C'!$C$8:$Q$313,6,FALSE)</f>
        <v>2.3473099999999998</v>
      </c>
      <c r="K220" s="176">
        <f>VLOOKUP($D220,'2024Data to Complete Appendix C'!$C$8:$Q$313,7,FALSE)</f>
        <v>1.95</v>
      </c>
      <c r="L220" s="176">
        <f>VLOOKUP($D220,'2024Data to Complete Appendix C'!$C$8:$Q$313,8,FALSE)</f>
        <v>1.12032</v>
      </c>
      <c r="M220" s="175">
        <f>VLOOKUP($D220,'2024Data to Complete Appendix C'!$C$8:$Q$313,9,FALSE)</f>
        <v>48.374099999999999</v>
      </c>
      <c r="N220" s="176">
        <f>VLOOKUP($D220,'2024Data to Complete Appendix C'!$C$8:$Q$313,10,FALSE)</f>
        <v>0.12651000000000001</v>
      </c>
      <c r="O220" s="177">
        <f>VLOOKUP($D220,'2024Data to Complete Appendix C'!$C$8:$Q$313,11,FALSE)</f>
        <v>0.56699999999999995</v>
      </c>
      <c r="P220" s="177">
        <f>VLOOKUP($D220,'2024Data to Complete Appendix C'!$C$8:$Q$313,12,FALSE)</f>
        <v>0.77268000000000003</v>
      </c>
      <c r="Q220" s="177">
        <f>VLOOKUP($D220,'2024Data to Complete Appendix C'!$C$8:$Q$313,13,FALSE)</f>
        <v>0.68727722000000002</v>
      </c>
      <c r="R220" s="176">
        <f>VLOOKUP($D220,'2024Data to Complete Appendix C'!$C$8:$Q$313,14,FALSE)</f>
        <v>2.2999999999999998</v>
      </c>
      <c r="S220" s="177">
        <f>VLOOKUP($D220,'2024Data to Complete Appendix C'!$C$8:$Q$313,15,FALSE)</f>
        <v>-0.33035700000000001</v>
      </c>
      <c r="T220" s="175">
        <f>IFERROR(VLOOKUP($D220,'2024_Lodging_by_WUP'!$A:$D,4,FALSE),0)</f>
        <v>0</v>
      </c>
      <c r="U220" s="175">
        <f t="shared" si="5"/>
        <v>0</v>
      </c>
      <c r="V220" s="178" t="str">
        <f>IFERROR(VLOOKUP($D220,Total_DU!$B$5:$AB$171,24,0),0)</f>
        <v>NA</v>
      </c>
      <c r="W220" s="178" t="str">
        <f>IFERROR(VLOOKUP($D220,Total_DU!$B$5:$AB$174,25,0),0)</f>
        <v>NA</v>
      </c>
      <c r="X220" s="178" t="str">
        <f>IFERROR(VLOOKUP($D220,Total_DU!$B$5:$AB$174,26,0),0)</f>
        <v>NA</v>
      </c>
      <c r="Y220" s="178" t="str">
        <f>IFERROR(VLOOKUP($D220,Total_DU!$B$5:$AB$174,27,0),0)</f>
        <v>NA</v>
      </c>
      <c r="Z220" s="178" t="str">
        <f>IFERROR(VLOOKUP($D220,Population!$B$5:$AA$175,23,FALSE),0)</f>
        <v>NA</v>
      </c>
      <c r="AA220" s="178" t="str">
        <f>IFERROR(VLOOKUP($D220,Population!$B$5:$AA$175,24,FALSE),0)</f>
        <v>NA</v>
      </c>
      <c r="AB220" s="178" t="str">
        <f>IFERROR(VLOOKUP($D220,Population!$B$5:$AA$175,25,FALSE),0)</f>
        <v>NA</v>
      </c>
      <c r="AC220" s="178" t="str">
        <f>IFERROR(VLOOKUP($D220,Population!$B$5:$AA$175,26,FALSE),0)</f>
        <v>NA</v>
      </c>
    </row>
    <row r="221" spans="1:29" x14ac:dyDescent="0.2">
      <c r="A221" s="1" t="s">
        <v>729</v>
      </c>
      <c r="B221" s="1" t="s">
        <v>738</v>
      </c>
      <c r="C221" s="1" t="s">
        <v>739</v>
      </c>
      <c r="D221" s="1">
        <v>8135</v>
      </c>
      <c r="E221" s="1">
        <v>2024</v>
      </c>
      <c r="F221" s="175">
        <f>VLOOKUP($D221,'2024Data to Complete Appendix C'!$C$8:$Q$313,2,FALSE)</f>
        <v>30314</v>
      </c>
      <c r="G221" s="175">
        <f>VLOOKUP($D221,'2024Data to Complete Appendix C'!$C$8:$Q$313,3,FALSE)</f>
        <v>14775</v>
      </c>
      <c r="H221" s="175">
        <f>VLOOKUP($D221,'2024Data to Complete Appendix C'!$C$8:$Q$313,4,FALSE)</f>
        <v>6637</v>
      </c>
      <c r="I221" s="175">
        <f>VLOOKUP($D221,'2024Data to Complete Appendix C'!$C$8:$Q$313,5,FALSE)</f>
        <v>18007</v>
      </c>
      <c r="J221" s="176">
        <f>VLOOKUP($D221,'2024Data to Complete Appendix C'!$C$8:$Q$313,6,FALSE)</f>
        <v>2.0517099999999999</v>
      </c>
      <c r="K221" s="176">
        <f>VLOOKUP($D221,'2024Data to Complete Appendix C'!$C$8:$Q$313,7,FALSE)</f>
        <v>1.95</v>
      </c>
      <c r="L221" s="176">
        <f>VLOOKUP($D221,'2024Data to Complete Appendix C'!$C$8:$Q$313,8,FALSE)</f>
        <v>1.11429</v>
      </c>
      <c r="M221" s="175">
        <f>VLOOKUP($D221,'2024Data to Complete Appendix C'!$C$8:$Q$313,9,FALSE)</f>
        <v>1776.68</v>
      </c>
      <c r="N221" s="176">
        <f>VLOOKUP($D221,'2024Data to Complete Appendix C'!$C$8:$Q$313,10,FALSE)</f>
        <v>0.10734100000000001</v>
      </c>
      <c r="O221" s="177">
        <f>VLOOKUP($D221,'2024Data to Complete Appendix C'!$C$8:$Q$313,11,FALSE)</f>
        <v>0.56699999999999995</v>
      </c>
      <c r="P221" s="177">
        <f>VLOOKUP($D221,'2024Data to Complete Appendix C'!$C$8:$Q$313,12,FALSE)</f>
        <v>0.77268000000000003</v>
      </c>
      <c r="Q221" s="177">
        <f>VLOOKUP($D221,'2024Data to Complete Appendix C'!$C$8:$Q$313,13,FALSE)</f>
        <v>0.68727722000000002</v>
      </c>
      <c r="R221" s="176">
        <f>VLOOKUP($D221,'2024Data to Complete Appendix C'!$C$8:$Q$313,14,FALSE)</f>
        <v>2.2999999999999998</v>
      </c>
      <c r="S221" s="177">
        <f>VLOOKUP($D221,'2024Data to Complete Appendix C'!$C$8:$Q$313,15,FALSE)</f>
        <v>-0.47096700000000002</v>
      </c>
      <c r="T221" s="175">
        <f>IFERROR(VLOOKUP($D221,'2024_Lodging_by_WUP'!$A:$D,4,FALSE),0)</f>
        <v>613</v>
      </c>
      <c r="U221" s="175">
        <f t="shared" si="5"/>
        <v>968.99215247799998</v>
      </c>
      <c r="V221" s="178">
        <f>IFERROR(VLOOKUP($D221,Total_DU!$B$5:$AB$171,24,0),0)</f>
        <v>5259</v>
      </c>
      <c r="W221" s="178">
        <f>IFERROR(VLOOKUP($D221,Total_DU!$B$5:$AB$174,25,0),0)</f>
        <v>4339</v>
      </c>
      <c r="X221" s="178">
        <f>IFERROR(VLOOKUP($D221,Total_DU!$B$5:$AB$174,26,0),0)</f>
        <v>4550</v>
      </c>
      <c r="Y221" s="178">
        <f>IFERROR(VLOOKUP($D221,Total_DU!$B$5:$AB$174,27,0),0)</f>
        <v>5553</v>
      </c>
      <c r="Z221" s="178">
        <f>IFERROR(VLOOKUP($D221,Population!$B$5:$AA$175,23,FALSE),0)</f>
        <v>17867</v>
      </c>
      <c r="AA221" s="178">
        <f>IFERROR(VLOOKUP($D221,Population!$B$5:$AA$175,24,FALSE),0)</f>
        <v>16399</v>
      </c>
      <c r="AB221" s="178">
        <f>IFERROR(VLOOKUP($D221,Population!$B$5:$AA$175,25,FALSE),0)</f>
        <v>17133</v>
      </c>
      <c r="AC221" s="178">
        <f>IFERROR(VLOOKUP($D221,Population!$B$5:$AA$175,26,FALSE),0)</f>
        <v>18428</v>
      </c>
    </row>
    <row r="222" spans="1:29" x14ac:dyDescent="0.2">
      <c r="A222" s="1" t="s">
        <v>729</v>
      </c>
      <c r="B222" s="1" t="s">
        <v>740</v>
      </c>
      <c r="C222" s="1" t="s">
        <v>741</v>
      </c>
      <c r="D222" s="1">
        <v>8193</v>
      </c>
      <c r="E222" s="1">
        <v>2024</v>
      </c>
      <c r="F222" s="175">
        <f>VLOOKUP($D222,'2024Data to Complete Appendix C'!$C$8:$Q$313,2,FALSE)</f>
        <v>866</v>
      </c>
      <c r="G222" s="175">
        <f>VLOOKUP($D222,'2024Data to Complete Appendix C'!$C$8:$Q$313,3,FALSE)</f>
        <v>278</v>
      </c>
      <c r="H222" s="175">
        <f>VLOOKUP($D222,'2024Data to Complete Appendix C'!$C$8:$Q$313,4,FALSE)</f>
        <v>0</v>
      </c>
      <c r="I222" s="175">
        <f>VLOOKUP($D222,'2024Data to Complete Appendix C'!$C$8:$Q$313,5,FALSE)</f>
        <v>330</v>
      </c>
      <c r="J222" s="176">
        <f>VLOOKUP($D222,'2024Data to Complete Appendix C'!$C$8:$Q$313,6,FALSE)</f>
        <v>3.11511</v>
      </c>
      <c r="K222" s="176">
        <f>VLOOKUP($D222,'2024Data to Complete Appendix C'!$C$8:$Q$313,7,FALSE)</f>
        <v>1.95</v>
      </c>
      <c r="L222" s="176">
        <f>VLOOKUP($D222,'2024Data to Complete Appendix C'!$C$8:$Q$313,8,FALSE)</f>
        <v>1</v>
      </c>
      <c r="M222" s="175">
        <f>VLOOKUP($D222,'2024Data to Complete Appendix C'!$C$8:$Q$313,9,FALSE)</f>
        <v>0</v>
      </c>
      <c r="N222" s="176">
        <f>VLOOKUP($D222,'2024Data to Complete Appendix C'!$C$8:$Q$313,10,FALSE)</f>
        <v>0</v>
      </c>
      <c r="O222" s="177">
        <f>VLOOKUP($D222,'2024Data to Complete Appendix C'!$C$8:$Q$313,11,FALSE)</f>
        <v>0.56699999999999995</v>
      </c>
      <c r="P222" s="177">
        <f>VLOOKUP($D222,'2024Data to Complete Appendix C'!$C$8:$Q$313,12,FALSE)</f>
        <v>0.77268000000000003</v>
      </c>
      <c r="Q222" s="177">
        <f>VLOOKUP($D222,'2024Data to Complete Appendix C'!$C$8:$Q$313,13,FALSE)</f>
        <v>0.68727722000000002</v>
      </c>
      <c r="R222" s="176">
        <f>VLOOKUP($D222,'2024Data to Complete Appendix C'!$C$8:$Q$313,14,FALSE)</f>
        <v>2.2999999999999998</v>
      </c>
      <c r="S222" s="177">
        <f>VLOOKUP($D222,'2024Data to Complete Appendix C'!$C$8:$Q$313,15,FALSE)</f>
        <v>-0.64696100000000001</v>
      </c>
      <c r="T222" s="175">
        <f>IFERROR(VLOOKUP($D222,'2024_Lodging_by_WUP'!$A:$D,4,FALSE),0)</f>
        <v>0</v>
      </c>
      <c r="U222" s="175">
        <f t="shared" si="5"/>
        <v>0</v>
      </c>
      <c r="V222" s="178">
        <f>IFERROR(VLOOKUP($D222,Total_DU!$B$5:$AB$171,24,0),0)</f>
        <v>376</v>
      </c>
      <c r="W222" s="178">
        <f>IFERROR(VLOOKUP($D222,Total_DU!$B$5:$AB$174,25,0),0)</f>
        <v>373</v>
      </c>
      <c r="X222" s="178">
        <f>IFERROR(VLOOKUP($D222,Total_DU!$B$5:$AB$174,26,0),0)</f>
        <v>378</v>
      </c>
      <c r="Y222" s="178">
        <f>IFERROR(VLOOKUP($D222,Total_DU!$B$5:$AB$174,27,0),0)</f>
        <v>378</v>
      </c>
      <c r="Z222" s="178">
        <f>IFERROR(VLOOKUP($D222,Population!$B$5:$AA$175,23,FALSE),0)</f>
        <v>1172.7139530181885</v>
      </c>
      <c r="AA222" s="178">
        <f>IFERROR(VLOOKUP($D222,Population!$B$5:$AA$175,24,FALSE),0)</f>
        <v>1163</v>
      </c>
      <c r="AB222" s="178">
        <f>IFERROR(VLOOKUP($D222,Population!$B$5:$AA$175,25,FALSE),0)</f>
        <v>1179</v>
      </c>
      <c r="AC222" s="178">
        <f>IFERROR(VLOOKUP($D222,Population!$B$5:$AA$175,26,FALSE),0)</f>
        <v>1177.5107913669065</v>
      </c>
    </row>
    <row r="223" spans="1:29" x14ac:dyDescent="0.2">
      <c r="A223" s="1" t="s">
        <v>729</v>
      </c>
      <c r="B223" s="1" t="s">
        <v>742</v>
      </c>
      <c r="C223" s="1" t="s">
        <v>743</v>
      </c>
      <c r="D223" s="1">
        <v>10488</v>
      </c>
      <c r="E223" s="1">
        <v>2024</v>
      </c>
      <c r="F223" s="175">
        <f>VLOOKUP($D223,'2024Data to Complete Appendix C'!$C$8:$Q$313,2,FALSE)</f>
        <v>753</v>
      </c>
      <c r="G223" s="175">
        <f>VLOOKUP($D223,'2024Data to Complete Appendix C'!$C$8:$Q$313,3,FALSE)</f>
        <v>292</v>
      </c>
      <c r="H223" s="175">
        <f>VLOOKUP($D223,'2024Data to Complete Appendix C'!$C$8:$Q$313,4,FALSE)</f>
        <v>0</v>
      </c>
      <c r="I223" s="175">
        <f>VLOOKUP($D223,'2024Data to Complete Appendix C'!$C$8:$Q$313,5,FALSE)</f>
        <v>350</v>
      </c>
      <c r="J223" s="176">
        <f>VLOOKUP($D223,'2024Data to Complete Appendix C'!$C$8:$Q$313,6,FALSE)</f>
        <v>2.57877</v>
      </c>
      <c r="K223" s="176">
        <f>VLOOKUP($D223,'2024Data to Complete Appendix C'!$C$8:$Q$313,7,FALSE)</f>
        <v>1.95</v>
      </c>
      <c r="L223" s="176">
        <f>VLOOKUP($D223,'2024Data to Complete Appendix C'!$C$8:$Q$313,8,FALSE)</f>
        <v>1.1293500000000001</v>
      </c>
      <c r="M223" s="175">
        <f>VLOOKUP($D223,'2024Data to Complete Appendix C'!$C$8:$Q$313,9,FALSE)</f>
        <v>49.947400000000002</v>
      </c>
      <c r="N223" s="176">
        <f>VLOOKUP($D223,'2024Data to Complete Appendix C'!$C$8:$Q$313,10,FALSE)</f>
        <v>0.146067</v>
      </c>
      <c r="O223" s="177">
        <f>VLOOKUP($D223,'2024Data to Complete Appendix C'!$C$8:$Q$313,11,FALSE)</f>
        <v>0.56699999999999995</v>
      </c>
      <c r="P223" s="177">
        <f>VLOOKUP($D223,'2024Data to Complete Appendix C'!$C$8:$Q$313,12,FALSE)</f>
        <v>0.77268000000000003</v>
      </c>
      <c r="Q223" s="177">
        <f>VLOOKUP($D223,'2024Data to Complete Appendix C'!$C$8:$Q$313,13,FALSE)</f>
        <v>0.68727722000000002</v>
      </c>
      <c r="R223" s="176">
        <f>VLOOKUP($D223,'2024Data to Complete Appendix C'!$C$8:$Q$313,14,FALSE)</f>
        <v>2.2999999999999998</v>
      </c>
      <c r="S223" s="177">
        <f>VLOOKUP($D223,'2024Data to Complete Appendix C'!$C$8:$Q$313,15,FALSE)</f>
        <v>-0.78544099999999994</v>
      </c>
      <c r="T223" s="175">
        <f>IFERROR(VLOOKUP($D223,'2024_Lodging_by_WUP'!$A:$D,4,FALSE),0)</f>
        <v>0</v>
      </c>
      <c r="U223" s="175">
        <f t="shared" si="5"/>
        <v>0</v>
      </c>
      <c r="V223" s="178">
        <f>IFERROR(VLOOKUP($D223,Total_DU!$B$5:$AB$171,24,0),0)</f>
        <v>0</v>
      </c>
      <c r="W223" s="178">
        <f>IFERROR(VLOOKUP($D223,Total_DU!$B$5:$AB$174,25,0),0)</f>
        <v>0</v>
      </c>
      <c r="X223" s="178">
        <f>IFERROR(VLOOKUP($D223,Total_DU!$B$5:$AB$174,26,0),0)</f>
        <v>0</v>
      </c>
      <c r="Y223" s="178">
        <f>IFERROR(VLOOKUP($D223,Total_DU!$B$5:$AB$174,27,0),0)</f>
        <v>0</v>
      </c>
      <c r="Z223" s="178">
        <f>IFERROR(VLOOKUP($D223,Population!$B$5:$AA$175,23,FALSE),0)</f>
        <v>0</v>
      </c>
      <c r="AA223" s="178">
        <f>IFERROR(VLOOKUP($D223,Population!$B$5:$AA$175,24,FALSE),0)</f>
        <v>0</v>
      </c>
      <c r="AB223" s="178">
        <f>IFERROR(VLOOKUP($D223,Population!$B$5:$AA$175,25,FALSE),0)</f>
        <v>0</v>
      </c>
      <c r="AC223" s="178">
        <f>IFERROR(VLOOKUP($D223,Population!$B$5:$AA$175,26,FALSE),0)</f>
        <v>0</v>
      </c>
    </row>
    <row r="224" spans="1:29" x14ac:dyDescent="0.2">
      <c r="A224" s="1" t="s">
        <v>729</v>
      </c>
      <c r="B224" s="1" t="str">
        <f>_xlfn.CONCAT(A224,"_",C224,"_WUP#_",D224)</f>
        <v>SUMTER_ORANGE BLOSSOM UTILITIES_WUP#_12584</v>
      </c>
      <c r="C224" s="1" t="s">
        <v>744</v>
      </c>
      <c r="D224" s="1">
        <v>12584</v>
      </c>
      <c r="E224" s="1">
        <v>2024</v>
      </c>
      <c r="F224" s="175">
        <f>VLOOKUP($D224,'2024Data to Complete Appendix C'!$C$8:$Q$313,2,FALSE)</f>
        <v>29</v>
      </c>
      <c r="G224" s="175">
        <f>VLOOKUP($D224,'2024Data to Complete Appendix C'!$C$8:$Q$313,3,FALSE)</f>
        <v>5</v>
      </c>
      <c r="H224" s="175">
        <f>VLOOKUP($D224,'2024Data to Complete Appendix C'!$C$8:$Q$313,4,FALSE)</f>
        <v>0</v>
      </c>
      <c r="I224" s="175">
        <f>VLOOKUP($D224,'2024Data to Complete Appendix C'!$C$8:$Q$313,5,FALSE)</f>
        <v>15</v>
      </c>
      <c r="J224" s="176">
        <f>VLOOKUP($D224,'2024Data to Complete Appendix C'!$C$8:$Q$313,6,FALSE)</f>
        <v>5.8</v>
      </c>
      <c r="K224" s="176">
        <f>VLOOKUP($D224,'2024Data to Complete Appendix C'!$C$8:$Q$313,7,FALSE)</f>
        <v>1.95</v>
      </c>
      <c r="L224" s="176">
        <f>VLOOKUP($D224,'2024Data to Complete Appendix C'!$C$8:$Q$313,8,FALSE)</f>
        <v>1.0507</v>
      </c>
      <c r="M224" s="175">
        <f>VLOOKUP($D224,'2024Data to Complete Appendix C'!$C$8:$Q$313,9,FALSE)</f>
        <v>0.75400999999999996</v>
      </c>
      <c r="N224" s="176">
        <f>VLOOKUP($D224,'2024Data to Complete Appendix C'!$C$8:$Q$313,10,FALSE)</f>
        <v>0.13104099999999999</v>
      </c>
      <c r="O224" s="177">
        <f>VLOOKUP($D224,'2024Data to Complete Appendix C'!$C$8:$Q$313,11,FALSE)</f>
        <v>0.56699999999999995</v>
      </c>
      <c r="P224" s="177">
        <f>VLOOKUP($D224,'2024Data to Complete Appendix C'!$C$8:$Q$313,12,FALSE)</f>
        <v>0.77268000000000003</v>
      </c>
      <c r="Q224" s="177">
        <f>VLOOKUP($D224,'2024Data to Complete Appendix C'!$C$8:$Q$313,13,FALSE)</f>
        <v>0.68727722000000002</v>
      </c>
      <c r="R224" s="176">
        <f>VLOOKUP($D224,'2024Data to Complete Appendix C'!$C$8:$Q$313,14,FALSE)</f>
        <v>2.2999999999999998</v>
      </c>
      <c r="S224" s="177">
        <f>VLOOKUP($D224,'2024Data to Complete Appendix C'!$C$8:$Q$313,15,FALSE)</f>
        <v>-0.14594399999999999</v>
      </c>
      <c r="T224" s="175">
        <f>IFERROR(VLOOKUP($D224,'2024_Lodging_by_WUP'!$A:$D,4,FALSE),0)</f>
        <v>82</v>
      </c>
      <c r="U224" s="175">
        <f t="shared" si="5"/>
        <v>129.62048369199999</v>
      </c>
      <c r="V224" s="178">
        <f>IFERROR(VLOOKUP($D224,Total_DU!$B$5:$AB$171,24,0),0)</f>
        <v>31</v>
      </c>
      <c r="W224" s="178">
        <f>IFERROR(VLOOKUP($D224,Total_DU!$B$5:$AB$174,25,0),0)</f>
        <v>41</v>
      </c>
      <c r="X224" s="178">
        <f>IFERROR(VLOOKUP($D224,Total_DU!$B$5:$AB$174,26,0),0)</f>
        <v>41</v>
      </c>
      <c r="Y224" s="178">
        <f>IFERROR(VLOOKUP($D224,Total_DU!$B$5:$AB$174,27,0),0)</f>
        <v>41</v>
      </c>
      <c r="Z224" s="178">
        <f>IFERROR(VLOOKUP($D224,Population!$B$5:$AA$175,23,FALSE),0)</f>
        <v>204.44651395297205</v>
      </c>
      <c r="AA224" s="178">
        <f>IFERROR(VLOOKUP($D224,Population!$B$5:$AA$175,24,FALSE),0)</f>
        <v>222</v>
      </c>
      <c r="AB224" s="178">
        <f>IFERROR(VLOOKUP($D224,Population!$B$5:$AA$175,25,FALSE),0)</f>
        <v>222</v>
      </c>
      <c r="AC224" s="178">
        <f>IFERROR(VLOOKUP($D224,Population!$B$5:$AA$175,26,FALSE),0)</f>
        <v>510.84995596876627</v>
      </c>
    </row>
    <row r="225" spans="1:29" x14ac:dyDescent="0.2">
      <c r="A225" s="1" t="s">
        <v>729</v>
      </c>
      <c r="B225" s="1" t="s">
        <v>745</v>
      </c>
      <c r="C225" s="1" t="s">
        <v>746</v>
      </c>
      <c r="D225" s="1">
        <v>13005</v>
      </c>
      <c r="E225" s="1">
        <v>2024</v>
      </c>
      <c r="F225" s="175">
        <f>VLOOKUP($D225,'2024Data to Complete Appendix C'!$C$8:$Q$313,2,FALSE)</f>
        <v>83051</v>
      </c>
      <c r="G225" s="175">
        <f>VLOOKUP($D225,'2024Data to Complete Appendix C'!$C$8:$Q$313,3,FALSE)</f>
        <v>47148</v>
      </c>
      <c r="H225" s="175">
        <f>VLOOKUP($D225,'2024Data to Complete Appendix C'!$C$8:$Q$313,4,FALSE)</f>
        <v>68</v>
      </c>
      <c r="I225" s="175">
        <f>VLOOKUP($D225,'2024Data to Complete Appendix C'!$C$8:$Q$313,5,FALSE)</f>
        <v>54784</v>
      </c>
      <c r="J225" s="176">
        <f>VLOOKUP($D225,'2024Data to Complete Appendix C'!$C$8:$Q$313,6,FALSE)</f>
        <v>1.7615000000000001</v>
      </c>
      <c r="K225" s="176">
        <f>VLOOKUP($D225,'2024Data to Complete Appendix C'!$C$8:$Q$313,7,FALSE)</f>
        <v>1.95</v>
      </c>
      <c r="L225" s="176">
        <f>VLOOKUP($D225,'2024Data to Complete Appendix C'!$C$8:$Q$313,8,FALSE)</f>
        <v>1.0325</v>
      </c>
      <c r="M225" s="175">
        <f>VLOOKUP($D225,'2024Data to Complete Appendix C'!$C$8:$Q$313,9,FALSE)</f>
        <v>1384.25</v>
      </c>
      <c r="N225" s="176">
        <f>VLOOKUP($D225,'2024Data to Complete Appendix C'!$C$8:$Q$313,10,FALSE)</f>
        <v>2.85223E-2</v>
      </c>
      <c r="O225" s="177">
        <f>VLOOKUP($D225,'2024Data to Complete Appendix C'!$C$8:$Q$313,11,FALSE)</f>
        <v>0.56699999999999995</v>
      </c>
      <c r="P225" s="177">
        <f>VLOOKUP($D225,'2024Data to Complete Appendix C'!$C$8:$Q$313,12,FALSE)</f>
        <v>0.77268000000000003</v>
      </c>
      <c r="Q225" s="177">
        <f>VLOOKUP($D225,'2024Data to Complete Appendix C'!$C$8:$Q$313,13,FALSE)</f>
        <v>0.68727722000000002</v>
      </c>
      <c r="R225" s="176">
        <f>VLOOKUP($D225,'2024Data to Complete Appendix C'!$C$8:$Q$313,14,FALSE)</f>
        <v>2.2999999999999998</v>
      </c>
      <c r="S225" s="177">
        <f>VLOOKUP($D225,'2024Data to Complete Appendix C'!$C$8:$Q$313,15,FALSE)</f>
        <v>-0.14257300000000001</v>
      </c>
      <c r="T225" s="175">
        <f>IFERROR(VLOOKUP($D225,'2024_Lodging_by_WUP'!$A:$D,4,FALSE),0)</f>
        <v>408</v>
      </c>
      <c r="U225" s="175">
        <f t="shared" si="5"/>
        <v>644.94094324799994</v>
      </c>
      <c r="V225" s="178">
        <f>IFERROR(VLOOKUP($D225,Total_DU!$B$5:$AB$171,24,0),0)</f>
        <v>49931</v>
      </c>
      <c r="W225" s="178">
        <f>IFERROR(VLOOKUP($D225,Total_DU!$B$5:$AB$174,25,0),0)</f>
        <v>49926</v>
      </c>
      <c r="X225" s="178">
        <f>IFERROR(VLOOKUP($D225,Total_DU!$B$5:$AB$174,26,0),0)</f>
        <v>49928</v>
      </c>
      <c r="Y225" s="178">
        <f>IFERROR(VLOOKUP($D225,Total_DU!$B$5:$AB$174,27,0),0)</f>
        <v>49926</v>
      </c>
      <c r="Z225" s="178">
        <f>IFERROR(VLOOKUP($D225,Population!$B$5:$AA$175,23,FALSE),0)</f>
        <v>91919.708629049768</v>
      </c>
      <c r="AA225" s="178">
        <f>IFERROR(VLOOKUP($D225,Population!$B$5:$AA$175,24,FALSE),0)</f>
        <v>91775</v>
      </c>
      <c r="AB225" s="178">
        <f>IFERROR(VLOOKUP($D225,Population!$B$5:$AA$175,25,FALSE),0)</f>
        <v>90827</v>
      </c>
      <c r="AC225" s="178">
        <f>IFERROR(VLOOKUP($D225,Population!$B$5:$AA$175,26,FALSE),0)</f>
        <v>87750.128187649534</v>
      </c>
    </row>
    <row r="226" spans="1:29" x14ac:dyDescent="0.2">
      <c r="A226" s="1" t="s">
        <v>729</v>
      </c>
      <c r="B226" s="1" t="s">
        <v>747</v>
      </c>
      <c r="C226" s="1" t="s">
        <v>748</v>
      </c>
      <c r="D226" s="1">
        <v>13123</v>
      </c>
      <c r="E226" s="1">
        <v>2024</v>
      </c>
      <c r="F226" s="175">
        <f>VLOOKUP($D226,'2024Data to Complete Appendix C'!$C$8:$Q$313,2,FALSE)</f>
        <v>88</v>
      </c>
      <c r="G226" s="175">
        <f>VLOOKUP($D226,'2024Data to Complete Appendix C'!$C$8:$Q$313,3,FALSE)</f>
        <v>36</v>
      </c>
      <c r="H226" s="175">
        <f>VLOOKUP($D226,'2024Data to Complete Appendix C'!$C$8:$Q$313,4,FALSE)</f>
        <v>0</v>
      </c>
      <c r="I226" s="175">
        <f>VLOOKUP($D226,'2024Data to Complete Appendix C'!$C$8:$Q$313,5,FALSE)</f>
        <v>36</v>
      </c>
      <c r="J226" s="176">
        <f>VLOOKUP($D226,'2024Data to Complete Appendix C'!$C$8:$Q$313,6,FALSE)</f>
        <v>2.4444400000000002</v>
      </c>
      <c r="K226" s="176">
        <f>VLOOKUP($D226,'2024Data to Complete Appendix C'!$C$8:$Q$313,7,FALSE)</f>
        <v>1.95</v>
      </c>
      <c r="L226" s="176">
        <f>VLOOKUP($D226,'2024Data to Complete Appendix C'!$C$8:$Q$313,8,FALSE)</f>
        <v>1.0651900000000001</v>
      </c>
      <c r="M226" s="175">
        <f>VLOOKUP($D226,'2024Data to Complete Appendix C'!$C$8:$Q$313,9,FALSE)</f>
        <v>2.94184</v>
      </c>
      <c r="N226" s="176">
        <f>VLOOKUP($D226,'2024Data to Complete Appendix C'!$C$8:$Q$313,10,FALSE)</f>
        <v>7.5544500000000001E-2</v>
      </c>
      <c r="O226" s="177">
        <f>VLOOKUP($D226,'2024Data to Complete Appendix C'!$C$8:$Q$313,11,FALSE)</f>
        <v>0.56699999999999995</v>
      </c>
      <c r="P226" s="177">
        <f>VLOOKUP($D226,'2024Data to Complete Appendix C'!$C$8:$Q$313,12,FALSE)</f>
        <v>0.77268000000000003</v>
      </c>
      <c r="Q226" s="177">
        <f>VLOOKUP($D226,'2024Data to Complete Appendix C'!$C$8:$Q$313,13,FALSE)</f>
        <v>0.68727722000000002</v>
      </c>
      <c r="R226" s="176">
        <f>VLOOKUP($D226,'2024Data to Complete Appendix C'!$C$8:$Q$313,14,FALSE)</f>
        <v>2.2999999999999998</v>
      </c>
      <c r="S226" s="177">
        <f>VLOOKUP($D226,'2024Data to Complete Appendix C'!$C$8:$Q$313,15,FALSE)</f>
        <v>-0.66073499999999996</v>
      </c>
      <c r="T226" s="175">
        <f>IFERROR(VLOOKUP($D226,'2024_Lodging_by_WUP'!$A:$D,4,FALSE),0)</f>
        <v>0</v>
      </c>
      <c r="U226" s="175">
        <f t="shared" si="5"/>
        <v>0</v>
      </c>
      <c r="V226" s="178" t="str">
        <f>IFERROR(VLOOKUP($D226,Total_DU!$B$5:$AB$171,24,0),0)</f>
        <v>NA</v>
      </c>
      <c r="W226" s="178" t="str">
        <f>IFERROR(VLOOKUP($D226,Total_DU!$B$5:$AB$174,25,0),0)</f>
        <v>NA</v>
      </c>
      <c r="X226" s="178" t="str">
        <f>IFERROR(VLOOKUP($D226,Total_DU!$B$5:$AB$174,26,0),0)</f>
        <v>NA</v>
      </c>
      <c r="Y226" s="178">
        <f>IFERROR(VLOOKUP($D226,Total_DU!$B$5:$AB$174,27,0),0)</f>
        <v>259</v>
      </c>
      <c r="Z226" s="178" t="str">
        <f>IFERROR(VLOOKUP($D226,Population!$B$5:$AA$175,23,FALSE),0)</f>
        <v>NA</v>
      </c>
      <c r="AA226" s="178" t="str">
        <f>IFERROR(VLOOKUP($D226,Population!$B$5:$AA$175,24,FALSE),0)</f>
        <v>NA</v>
      </c>
      <c r="AB226" s="178" t="str">
        <f>IFERROR(VLOOKUP($D226,Population!$B$5:$AA$175,25,FALSE),0)</f>
        <v>NA</v>
      </c>
      <c r="AC226" s="178">
        <f>IFERROR(VLOOKUP($D226,Population!$B$5:$AA$175,26,FALSE),0)</f>
        <v>614.76349734654218</v>
      </c>
    </row>
    <row r="227" spans="1:29" x14ac:dyDescent="0.2">
      <c r="A227" s="1" t="s">
        <v>729</v>
      </c>
      <c r="B227" s="1" t="s">
        <v>749</v>
      </c>
      <c r="C227" s="1" t="s">
        <v>750</v>
      </c>
      <c r="D227" s="1">
        <v>20721</v>
      </c>
      <c r="E227" s="1">
        <v>2024</v>
      </c>
      <c r="F227" s="175">
        <f>VLOOKUP($D227,'2024Data to Complete Appendix C'!$C$8:$Q$313,2,FALSE)</f>
        <v>7863</v>
      </c>
      <c r="G227" s="175">
        <f>VLOOKUP($D227,'2024Data to Complete Appendix C'!$C$8:$Q$313,3,FALSE)</f>
        <v>4288</v>
      </c>
      <c r="H227" s="175">
        <f>VLOOKUP($D227,'2024Data to Complete Appendix C'!$C$8:$Q$313,4,FALSE)</f>
        <v>6100</v>
      </c>
      <c r="I227" s="175">
        <f>VLOOKUP($D227,'2024Data to Complete Appendix C'!$C$8:$Q$313,5,FALSE)</f>
        <v>5957</v>
      </c>
      <c r="J227" s="176">
        <f>VLOOKUP($D227,'2024Data to Complete Appendix C'!$C$8:$Q$313,6,FALSE)</f>
        <v>1.83372</v>
      </c>
      <c r="K227" s="176">
        <f>VLOOKUP($D227,'2024Data to Complete Appendix C'!$C$8:$Q$313,7,FALSE)</f>
        <v>1.95</v>
      </c>
      <c r="L227" s="176">
        <f>VLOOKUP($D227,'2024Data to Complete Appendix C'!$C$8:$Q$313,8,FALSE)</f>
        <v>1.03338</v>
      </c>
      <c r="M227" s="175">
        <f>VLOOKUP($D227,'2024Data to Complete Appendix C'!$C$8:$Q$313,9,FALSE)</f>
        <v>134.601</v>
      </c>
      <c r="N227" s="176">
        <f>VLOOKUP($D227,'2024Data to Complete Appendix C'!$C$8:$Q$313,10,FALSE)</f>
        <v>3.0434800000000001E-2</v>
      </c>
      <c r="O227" s="177">
        <f>VLOOKUP($D227,'2024Data to Complete Appendix C'!$C$8:$Q$313,11,FALSE)</f>
        <v>0.56699999999999995</v>
      </c>
      <c r="P227" s="177">
        <f>VLOOKUP($D227,'2024Data to Complete Appendix C'!$C$8:$Q$313,12,FALSE)</f>
        <v>0.77268000000000003</v>
      </c>
      <c r="Q227" s="177">
        <f>VLOOKUP($D227,'2024Data to Complete Appendix C'!$C$8:$Q$313,13,FALSE)</f>
        <v>0.68727722000000002</v>
      </c>
      <c r="R227" s="176">
        <f>VLOOKUP($D227,'2024Data to Complete Appendix C'!$C$8:$Q$313,14,FALSE)</f>
        <v>2.2999999999999998</v>
      </c>
      <c r="S227" s="177">
        <f>VLOOKUP($D227,'2024Data to Complete Appendix C'!$C$8:$Q$313,15,FALSE)</f>
        <v>-0.377386</v>
      </c>
      <c r="T227" s="175">
        <f>IFERROR(VLOOKUP($D227,'2024_Lodging_by_WUP'!$A:$D,4,FALSE),0)</f>
        <v>69</v>
      </c>
      <c r="U227" s="175">
        <f t="shared" si="5"/>
        <v>109.070894814</v>
      </c>
      <c r="V227" s="178">
        <f>IFERROR(VLOOKUP($D227,Total_DU!$B$5:$AB$171,24,0),0)</f>
        <v>4009</v>
      </c>
      <c r="W227" s="178">
        <f>IFERROR(VLOOKUP($D227,Total_DU!$B$5:$AB$174,25,0),0)</f>
        <v>7938</v>
      </c>
      <c r="X227" s="178">
        <f>IFERROR(VLOOKUP($D227,Total_DU!$B$5:$AB$174,26,0),0)</f>
        <v>11571</v>
      </c>
      <c r="Y227" s="178">
        <f>IFERROR(VLOOKUP($D227,Total_DU!$B$5:$AB$174,27,0),0)</f>
        <v>13822</v>
      </c>
      <c r="Z227" s="178">
        <f>IFERROR(VLOOKUP($D227,Population!$B$5:$AA$175,23,FALSE),0)</f>
        <v>8063.6978585867655</v>
      </c>
      <c r="AA227" s="178">
        <f>IFERROR(VLOOKUP($D227,Population!$B$5:$AA$175,24,FALSE),0)</f>
        <v>15966</v>
      </c>
      <c r="AB227" s="178">
        <f>IFERROR(VLOOKUP($D227,Population!$B$5:$AA$175,25,FALSE),0)</f>
        <v>24081</v>
      </c>
      <c r="AC227" s="178">
        <f>IFERROR(VLOOKUP($D227,Population!$B$5:$AA$175,26,FALSE),0)</f>
        <v>25158.3880564705</v>
      </c>
    </row>
    <row r="228" spans="1:29" x14ac:dyDescent="0.2">
      <c r="A228" s="1" t="s">
        <v>729</v>
      </c>
      <c r="B228" s="1" t="s">
        <v>751</v>
      </c>
      <c r="C228" s="1" t="s">
        <v>752</v>
      </c>
      <c r="D228" s="1">
        <v>20901</v>
      </c>
      <c r="E228" s="1">
        <v>2024</v>
      </c>
      <c r="F228" s="175">
        <f>VLOOKUP($D228,'2024Data to Complete Appendix C'!$C$8:$Q$313,2,FALSE)</f>
        <v>1383</v>
      </c>
      <c r="G228" s="175">
        <f>VLOOKUP($D228,'2024Data to Complete Appendix C'!$C$8:$Q$313,3,FALSE)</f>
        <v>779</v>
      </c>
      <c r="H228" s="175">
        <f>VLOOKUP($D228,'2024Data to Complete Appendix C'!$C$8:$Q$313,4,FALSE)</f>
        <v>0</v>
      </c>
      <c r="I228" s="175">
        <f>VLOOKUP($D228,'2024Data to Complete Appendix C'!$C$8:$Q$313,5,FALSE)</f>
        <v>1368</v>
      </c>
      <c r="J228" s="176">
        <f>VLOOKUP($D228,'2024Data to Complete Appendix C'!$C$8:$Q$313,6,FALSE)</f>
        <v>1.77535</v>
      </c>
      <c r="K228" s="176">
        <f>VLOOKUP($D228,'2024Data to Complete Appendix C'!$C$8:$Q$313,7,FALSE)</f>
        <v>1.95</v>
      </c>
      <c r="L228" s="176">
        <f>VLOOKUP($D228,'2024Data to Complete Appendix C'!$C$8:$Q$313,8,FALSE)</f>
        <v>1.0120100000000001</v>
      </c>
      <c r="M228" s="175">
        <f>VLOOKUP($D228,'2024Data to Complete Appendix C'!$C$8:$Q$313,9,FALSE)</f>
        <v>8.5162399999999998</v>
      </c>
      <c r="N228" s="176">
        <f>VLOOKUP($D228,'2024Data to Complete Appendix C'!$C$8:$Q$313,10,FALSE)</f>
        <v>1.0814000000000001E-2</v>
      </c>
      <c r="O228" s="177">
        <f>VLOOKUP($D228,'2024Data to Complete Appendix C'!$C$8:$Q$313,11,FALSE)</f>
        <v>0.56699999999999995</v>
      </c>
      <c r="P228" s="177">
        <f>VLOOKUP($D228,'2024Data to Complete Appendix C'!$C$8:$Q$313,12,FALSE)</f>
        <v>0.77268000000000003</v>
      </c>
      <c r="Q228" s="177">
        <f>VLOOKUP($D228,'2024Data to Complete Appendix C'!$C$8:$Q$313,13,FALSE)</f>
        <v>0.68727722000000002</v>
      </c>
      <c r="R228" s="176">
        <f>VLOOKUP($D228,'2024Data to Complete Appendix C'!$C$8:$Q$313,14,FALSE)</f>
        <v>2.2999999999999998</v>
      </c>
      <c r="S228" s="177">
        <f>VLOOKUP($D228,'2024Data to Complete Appendix C'!$C$8:$Q$313,15,FALSE)</f>
        <v>-0.61822200000000005</v>
      </c>
      <c r="T228" s="175">
        <f>IFERROR(VLOOKUP($D228,'2024_Lodging_by_WUP'!$A:$D,4,FALSE),0)</f>
        <v>0</v>
      </c>
      <c r="U228" s="175">
        <f t="shared" ref="U228" si="7">IF(T228&gt;0,T228*Q228*R228,0)</f>
        <v>0</v>
      </c>
      <c r="V228" s="178" t="str">
        <f>IFERROR(VLOOKUP($D228,Total_DU!$B$5:$AB$171,24,0),0)</f>
        <v>NA</v>
      </c>
      <c r="W228" s="178" t="str">
        <f>IFERROR(VLOOKUP($D228,Total_DU!$B$5:$AB$174,25,0),0)</f>
        <v>NA</v>
      </c>
      <c r="X228" s="178" t="str">
        <f>IFERROR(VLOOKUP($D228,Total_DU!$B$5:$AB$174,26,0),0)</f>
        <v>NA</v>
      </c>
      <c r="Y228" s="178">
        <f>IFERROR(VLOOKUP($D228,Total_DU!$B$5:$AB$174,27,0),0)</f>
        <v>266</v>
      </c>
      <c r="Z228" s="178" t="str">
        <f>IFERROR(VLOOKUP($D228,Population!$B$5:$AA$175,23,FALSE),0)</f>
        <v>NA</v>
      </c>
      <c r="AA228" s="178" t="str">
        <f>IFERROR(VLOOKUP($D228,Population!$B$5:$AA$175,24,FALSE),0)</f>
        <v>NA</v>
      </c>
      <c r="AB228" s="178" t="str">
        <f>IFERROR(VLOOKUP($D228,Population!$B$5:$AA$175,25,FALSE),0)</f>
        <v>NA</v>
      </c>
      <c r="AC228" s="178">
        <f>IFERROR(VLOOKUP($D228,Population!$B$5:$AA$175,26,FALSE),0)</f>
        <v>471.98360613709116</v>
      </c>
    </row>
  </sheetData>
  <autoFilter ref="A6:AC6" xr:uid="{00000000-0001-0000-0500-000000000000}"/>
  <conditionalFormatting sqref="C167">
    <cfRule type="expression" dxfId="19" priority="5">
      <formula>MOD(ROW(),2)=0</formula>
    </cfRule>
  </conditionalFormatting>
  <pageMargins left="0.75" right="0.75" top="1" bottom="1" header="0.5" footer="0.5"/>
  <pageSetup orientation="landscape" r:id="rId1"/>
  <headerFooter alignWithMargins="0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314"/>
  <sheetViews>
    <sheetView workbookViewId="0"/>
  </sheetViews>
  <sheetFormatPr defaultColWidth="8" defaultRowHeight="14.25" x14ac:dyDescent="0.2"/>
  <cols>
    <col min="1" max="1" width="17.375" customWidth="1"/>
    <col min="2" max="2" width="51" bestFit="1" customWidth="1"/>
    <col min="3" max="3" width="11.625" bestFit="1" customWidth="1"/>
    <col min="4" max="7" width="12.625" bestFit="1" customWidth="1"/>
    <col min="8" max="8" width="10.5" bestFit="1" customWidth="1"/>
    <col min="9" max="9" width="10.25" bestFit="1" customWidth="1"/>
    <col min="10" max="10" width="12.625" bestFit="1" customWidth="1"/>
    <col min="11" max="11" width="10.75" bestFit="1" customWidth="1"/>
    <col min="12" max="13" width="12.5" bestFit="1" customWidth="1"/>
    <col min="14" max="14" width="10.25" bestFit="1" customWidth="1"/>
    <col min="15" max="15" width="10.75" bestFit="1" customWidth="1"/>
    <col min="16" max="16" width="12.625" bestFit="1" customWidth="1"/>
    <col min="17" max="17" width="18" bestFit="1" customWidth="1"/>
    <col min="18" max="18" width="9.125" bestFit="1" customWidth="1"/>
    <col min="257" max="257" width="12.625" customWidth="1"/>
    <col min="258" max="258" width="25.375" customWidth="1"/>
    <col min="259" max="272" width="12.625" customWidth="1"/>
    <col min="273" max="273" width="17.75" customWidth="1"/>
    <col min="513" max="513" width="12.625" customWidth="1"/>
    <col min="514" max="514" width="25.375" customWidth="1"/>
    <col min="515" max="528" width="12.625" customWidth="1"/>
    <col min="529" max="529" width="17.75" customWidth="1"/>
    <col min="769" max="769" width="12.625" customWidth="1"/>
    <col min="770" max="770" width="25.375" customWidth="1"/>
    <col min="771" max="784" width="12.625" customWidth="1"/>
    <col min="785" max="785" width="17.75" customWidth="1"/>
    <col min="1025" max="1025" width="12.625" customWidth="1"/>
    <col min="1026" max="1026" width="25.375" customWidth="1"/>
    <col min="1027" max="1040" width="12.625" customWidth="1"/>
    <col min="1041" max="1041" width="17.75" customWidth="1"/>
    <col min="1281" max="1281" width="12.625" customWidth="1"/>
    <col min="1282" max="1282" width="25.375" customWidth="1"/>
    <col min="1283" max="1296" width="12.625" customWidth="1"/>
    <col min="1297" max="1297" width="17.75" customWidth="1"/>
    <col min="1537" max="1537" width="12.625" customWidth="1"/>
    <col min="1538" max="1538" width="25.375" customWidth="1"/>
    <col min="1539" max="1552" width="12.625" customWidth="1"/>
    <col min="1553" max="1553" width="17.75" customWidth="1"/>
    <col min="1793" max="1793" width="12.625" customWidth="1"/>
    <col min="1794" max="1794" width="25.375" customWidth="1"/>
    <col min="1795" max="1808" width="12.625" customWidth="1"/>
    <col min="1809" max="1809" width="17.75" customWidth="1"/>
    <col min="2049" max="2049" width="12.625" customWidth="1"/>
    <col min="2050" max="2050" width="25.375" customWidth="1"/>
    <col min="2051" max="2064" width="12.625" customWidth="1"/>
    <col min="2065" max="2065" width="17.75" customWidth="1"/>
    <col min="2305" max="2305" width="12.625" customWidth="1"/>
    <col min="2306" max="2306" width="25.375" customWidth="1"/>
    <col min="2307" max="2320" width="12.625" customWidth="1"/>
    <col min="2321" max="2321" width="17.75" customWidth="1"/>
    <col min="2561" max="2561" width="12.625" customWidth="1"/>
    <col min="2562" max="2562" width="25.375" customWidth="1"/>
    <col min="2563" max="2576" width="12.625" customWidth="1"/>
    <col min="2577" max="2577" width="17.75" customWidth="1"/>
    <col min="2817" max="2817" width="12.625" customWidth="1"/>
    <col min="2818" max="2818" width="25.375" customWidth="1"/>
    <col min="2819" max="2832" width="12.625" customWidth="1"/>
    <col min="2833" max="2833" width="17.75" customWidth="1"/>
    <col min="3073" max="3073" width="12.625" customWidth="1"/>
    <col min="3074" max="3074" width="25.375" customWidth="1"/>
    <col min="3075" max="3088" width="12.625" customWidth="1"/>
    <col min="3089" max="3089" width="17.75" customWidth="1"/>
    <col min="3329" max="3329" width="12.625" customWidth="1"/>
    <col min="3330" max="3330" width="25.375" customWidth="1"/>
    <col min="3331" max="3344" width="12.625" customWidth="1"/>
    <col min="3345" max="3345" width="17.75" customWidth="1"/>
    <col min="3585" max="3585" width="12.625" customWidth="1"/>
    <col min="3586" max="3586" width="25.375" customWidth="1"/>
    <col min="3587" max="3600" width="12.625" customWidth="1"/>
    <col min="3601" max="3601" width="17.75" customWidth="1"/>
    <col min="3841" max="3841" width="12.625" customWidth="1"/>
    <col min="3842" max="3842" width="25.375" customWidth="1"/>
    <col min="3843" max="3856" width="12.625" customWidth="1"/>
    <col min="3857" max="3857" width="17.75" customWidth="1"/>
    <col min="4097" max="4097" width="12.625" customWidth="1"/>
    <col min="4098" max="4098" width="25.375" customWidth="1"/>
    <col min="4099" max="4112" width="12.625" customWidth="1"/>
    <col min="4113" max="4113" width="17.75" customWidth="1"/>
    <col min="4353" max="4353" width="12.625" customWidth="1"/>
    <col min="4354" max="4354" width="25.375" customWidth="1"/>
    <col min="4355" max="4368" width="12.625" customWidth="1"/>
    <col min="4369" max="4369" width="17.75" customWidth="1"/>
    <col min="4609" max="4609" width="12.625" customWidth="1"/>
    <col min="4610" max="4610" width="25.375" customWidth="1"/>
    <col min="4611" max="4624" width="12.625" customWidth="1"/>
    <col min="4625" max="4625" width="17.75" customWidth="1"/>
    <col min="4865" max="4865" width="12.625" customWidth="1"/>
    <col min="4866" max="4866" width="25.375" customWidth="1"/>
    <col min="4867" max="4880" width="12.625" customWidth="1"/>
    <col min="4881" max="4881" width="17.75" customWidth="1"/>
    <col min="5121" max="5121" width="12.625" customWidth="1"/>
    <col min="5122" max="5122" width="25.375" customWidth="1"/>
    <col min="5123" max="5136" width="12.625" customWidth="1"/>
    <col min="5137" max="5137" width="17.75" customWidth="1"/>
    <col min="5377" max="5377" width="12.625" customWidth="1"/>
    <col min="5378" max="5378" width="25.375" customWidth="1"/>
    <col min="5379" max="5392" width="12.625" customWidth="1"/>
    <col min="5393" max="5393" width="17.75" customWidth="1"/>
    <col min="5633" max="5633" width="12.625" customWidth="1"/>
    <col min="5634" max="5634" width="25.375" customWidth="1"/>
    <col min="5635" max="5648" width="12.625" customWidth="1"/>
    <col min="5649" max="5649" width="17.75" customWidth="1"/>
    <col min="5889" max="5889" width="12.625" customWidth="1"/>
    <col min="5890" max="5890" width="25.375" customWidth="1"/>
    <col min="5891" max="5904" width="12.625" customWidth="1"/>
    <col min="5905" max="5905" width="17.75" customWidth="1"/>
    <col min="6145" max="6145" width="12.625" customWidth="1"/>
    <col min="6146" max="6146" width="25.375" customWidth="1"/>
    <col min="6147" max="6160" width="12.625" customWidth="1"/>
    <col min="6161" max="6161" width="17.75" customWidth="1"/>
    <col min="6401" max="6401" width="12.625" customWidth="1"/>
    <col min="6402" max="6402" width="25.375" customWidth="1"/>
    <col min="6403" max="6416" width="12.625" customWidth="1"/>
    <col min="6417" max="6417" width="17.75" customWidth="1"/>
    <col min="6657" max="6657" width="12.625" customWidth="1"/>
    <col min="6658" max="6658" width="25.375" customWidth="1"/>
    <col min="6659" max="6672" width="12.625" customWidth="1"/>
    <col min="6673" max="6673" width="17.75" customWidth="1"/>
    <col min="6913" max="6913" width="12.625" customWidth="1"/>
    <col min="6914" max="6914" width="25.375" customWidth="1"/>
    <col min="6915" max="6928" width="12.625" customWidth="1"/>
    <col min="6929" max="6929" width="17.75" customWidth="1"/>
    <col min="7169" max="7169" width="12.625" customWidth="1"/>
    <col min="7170" max="7170" width="25.375" customWidth="1"/>
    <col min="7171" max="7184" width="12.625" customWidth="1"/>
    <col min="7185" max="7185" width="17.75" customWidth="1"/>
    <col min="7425" max="7425" width="12.625" customWidth="1"/>
    <col min="7426" max="7426" width="25.375" customWidth="1"/>
    <col min="7427" max="7440" width="12.625" customWidth="1"/>
    <col min="7441" max="7441" width="17.75" customWidth="1"/>
    <col min="7681" max="7681" width="12.625" customWidth="1"/>
    <col min="7682" max="7682" width="25.375" customWidth="1"/>
    <col min="7683" max="7696" width="12.625" customWidth="1"/>
    <col min="7697" max="7697" width="17.75" customWidth="1"/>
    <col min="7937" max="7937" width="12.625" customWidth="1"/>
    <col min="7938" max="7938" width="25.375" customWidth="1"/>
    <col min="7939" max="7952" width="12.625" customWidth="1"/>
    <col min="7953" max="7953" width="17.75" customWidth="1"/>
    <col min="8193" max="8193" width="12.625" customWidth="1"/>
    <col min="8194" max="8194" width="25.375" customWidth="1"/>
    <col min="8195" max="8208" width="12.625" customWidth="1"/>
    <col min="8209" max="8209" width="17.75" customWidth="1"/>
    <col min="8449" max="8449" width="12.625" customWidth="1"/>
    <col min="8450" max="8450" width="25.375" customWidth="1"/>
    <col min="8451" max="8464" width="12.625" customWidth="1"/>
    <col min="8465" max="8465" width="17.75" customWidth="1"/>
    <col min="8705" max="8705" width="12.625" customWidth="1"/>
    <col min="8706" max="8706" width="25.375" customWidth="1"/>
    <col min="8707" max="8720" width="12.625" customWidth="1"/>
    <col min="8721" max="8721" width="17.75" customWidth="1"/>
    <col min="8961" max="8961" width="12.625" customWidth="1"/>
    <col min="8962" max="8962" width="25.375" customWidth="1"/>
    <col min="8963" max="8976" width="12.625" customWidth="1"/>
    <col min="8977" max="8977" width="17.75" customWidth="1"/>
    <col min="9217" max="9217" width="12.625" customWidth="1"/>
    <col min="9218" max="9218" width="25.375" customWidth="1"/>
    <col min="9219" max="9232" width="12.625" customWidth="1"/>
    <col min="9233" max="9233" width="17.75" customWidth="1"/>
    <col min="9473" max="9473" width="12.625" customWidth="1"/>
    <col min="9474" max="9474" width="25.375" customWidth="1"/>
    <col min="9475" max="9488" width="12.625" customWidth="1"/>
    <col min="9489" max="9489" width="17.75" customWidth="1"/>
    <col min="9729" max="9729" width="12.625" customWidth="1"/>
    <col min="9730" max="9730" width="25.375" customWidth="1"/>
    <col min="9731" max="9744" width="12.625" customWidth="1"/>
    <col min="9745" max="9745" width="17.75" customWidth="1"/>
    <col min="9985" max="9985" width="12.625" customWidth="1"/>
    <col min="9986" max="9986" width="25.375" customWidth="1"/>
    <col min="9987" max="10000" width="12.625" customWidth="1"/>
    <col min="10001" max="10001" width="17.75" customWidth="1"/>
    <col min="10241" max="10241" width="12.625" customWidth="1"/>
    <col min="10242" max="10242" width="25.375" customWidth="1"/>
    <col min="10243" max="10256" width="12.625" customWidth="1"/>
    <col min="10257" max="10257" width="17.75" customWidth="1"/>
    <col min="10497" max="10497" width="12.625" customWidth="1"/>
    <col min="10498" max="10498" width="25.375" customWidth="1"/>
    <col min="10499" max="10512" width="12.625" customWidth="1"/>
    <col min="10513" max="10513" width="17.75" customWidth="1"/>
    <col min="10753" max="10753" width="12.625" customWidth="1"/>
    <col min="10754" max="10754" width="25.375" customWidth="1"/>
    <col min="10755" max="10768" width="12.625" customWidth="1"/>
    <col min="10769" max="10769" width="17.75" customWidth="1"/>
    <col min="11009" max="11009" width="12.625" customWidth="1"/>
    <col min="11010" max="11010" width="25.375" customWidth="1"/>
    <col min="11011" max="11024" width="12.625" customWidth="1"/>
    <col min="11025" max="11025" width="17.75" customWidth="1"/>
    <col min="11265" max="11265" width="12.625" customWidth="1"/>
    <col min="11266" max="11266" width="25.375" customWidth="1"/>
    <col min="11267" max="11280" width="12.625" customWidth="1"/>
    <col min="11281" max="11281" width="17.75" customWidth="1"/>
    <col min="11521" max="11521" width="12.625" customWidth="1"/>
    <col min="11522" max="11522" width="25.375" customWidth="1"/>
    <col min="11523" max="11536" width="12.625" customWidth="1"/>
    <col min="11537" max="11537" width="17.75" customWidth="1"/>
    <col min="11777" max="11777" width="12.625" customWidth="1"/>
    <col min="11778" max="11778" width="25.375" customWidth="1"/>
    <col min="11779" max="11792" width="12.625" customWidth="1"/>
    <col min="11793" max="11793" width="17.75" customWidth="1"/>
    <col min="12033" max="12033" width="12.625" customWidth="1"/>
    <col min="12034" max="12034" width="25.375" customWidth="1"/>
    <col min="12035" max="12048" width="12.625" customWidth="1"/>
    <col min="12049" max="12049" width="17.75" customWidth="1"/>
    <col min="12289" max="12289" width="12.625" customWidth="1"/>
    <col min="12290" max="12290" width="25.375" customWidth="1"/>
    <col min="12291" max="12304" width="12.625" customWidth="1"/>
    <col min="12305" max="12305" width="17.75" customWidth="1"/>
    <col min="12545" max="12545" width="12.625" customWidth="1"/>
    <col min="12546" max="12546" width="25.375" customWidth="1"/>
    <col min="12547" max="12560" width="12.625" customWidth="1"/>
    <col min="12561" max="12561" width="17.75" customWidth="1"/>
    <col min="12801" max="12801" width="12.625" customWidth="1"/>
    <col min="12802" max="12802" width="25.375" customWidth="1"/>
    <col min="12803" max="12816" width="12.625" customWidth="1"/>
    <col min="12817" max="12817" width="17.75" customWidth="1"/>
    <col min="13057" max="13057" width="12.625" customWidth="1"/>
    <col min="13058" max="13058" width="25.375" customWidth="1"/>
    <col min="13059" max="13072" width="12.625" customWidth="1"/>
    <col min="13073" max="13073" width="17.75" customWidth="1"/>
    <col min="13313" max="13313" width="12.625" customWidth="1"/>
    <col min="13314" max="13314" width="25.375" customWidth="1"/>
    <col min="13315" max="13328" width="12.625" customWidth="1"/>
    <col min="13329" max="13329" width="17.75" customWidth="1"/>
    <col min="13569" max="13569" width="12.625" customWidth="1"/>
    <col min="13570" max="13570" width="25.375" customWidth="1"/>
    <col min="13571" max="13584" width="12.625" customWidth="1"/>
    <col min="13585" max="13585" width="17.75" customWidth="1"/>
    <col min="13825" max="13825" width="12.625" customWidth="1"/>
    <col min="13826" max="13826" width="25.375" customWidth="1"/>
    <col min="13827" max="13840" width="12.625" customWidth="1"/>
    <col min="13841" max="13841" width="17.75" customWidth="1"/>
    <col min="14081" max="14081" width="12.625" customWidth="1"/>
    <col min="14082" max="14082" width="25.375" customWidth="1"/>
    <col min="14083" max="14096" width="12.625" customWidth="1"/>
    <col min="14097" max="14097" width="17.75" customWidth="1"/>
    <col min="14337" max="14337" width="12.625" customWidth="1"/>
    <col min="14338" max="14338" width="25.375" customWidth="1"/>
    <col min="14339" max="14352" width="12.625" customWidth="1"/>
    <col min="14353" max="14353" width="17.75" customWidth="1"/>
    <col min="14593" max="14593" width="12.625" customWidth="1"/>
    <col min="14594" max="14594" width="25.375" customWidth="1"/>
    <col min="14595" max="14608" width="12.625" customWidth="1"/>
    <col min="14609" max="14609" width="17.75" customWidth="1"/>
    <col min="14849" max="14849" width="12.625" customWidth="1"/>
    <col min="14850" max="14850" width="25.375" customWidth="1"/>
    <col min="14851" max="14864" width="12.625" customWidth="1"/>
    <col min="14865" max="14865" width="17.75" customWidth="1"/>
    <col min="15105" max="15105" width="12.625" customWidth="1"/>
    <col min="15106" max="15106" width="25.375" customWidth="1"/>
    <col min="15107" max="15120" width="12.625" customWidth="1"/>
    <col min="15121" max="15121" width="17.75" customWidth="1"/>
    <col min="15361" max="15361" width="12.625" customWidth="1"/>
    <col min="15362" max="15362" width="25.375" customWidth="1"/>
    <col min="15363" max="15376" width="12.625" customWidth="1"/>
    <col min="15377" max="15377" width="17.75" customWidth="1"/>
    <col min="15617" max="15617" width="12.625" customWidth="1"/>
    <col min="15618" max="15618" width="25.375" customWidth="1"/>
    <col min="15619" max="15632" width="12.625" customWidth="1"/>
    <col min="15633" max="15633" width="17.75" customWidth="1"/>
    <col min="15873" max="15873" width="12.625" customWidth="1"/>
    <col min="15874" max="15874" width="25.375" customWidth="1"/>
    <col min="15875" max="15888" width="12.625" customWidth="1"/>
    <col min="15889" max="15889" width="17.75" customWidth="1"/>
    <col min="16129" max="16129" width="12.625" customWidth="1"/>
    <col min="16130" max="16130" width="25.375" customWidth="1"/>
    <col min="16131" max="16144" width="12.625" customWidth="1"/>
    <col min="16145" max="16145" width="17.75" customWidth="1"/>
  </cols>
  <sheetData>
    <row r="1" spans="1:17" ht="15" x14ac:dyDescent="0.25">
      <c r="A1" s="155" t="s">
        <v>303</v>
      </c>
      <c r="B1" s="155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7"/>
    </row>
    <row r="2" spans="1:17" ht="15" x14ac:dyDescent="0.25">
      <c r="A2" s="155" t="s">
        <v>304</v>
      </c>
      <c r="B2" s="155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7"/>
    </row>
    <row r="3" spans="1:17" ht="15" x14ac:dyDescent="0.25">
      <c r="A3" s="155"/>
      <c r="B3" s="155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7"/>
    </row>
    <row r="4" spans="1:17" ht="15" x14ac:dyDescent="0.25">
      <c r="A4" s="158" t="s">
        <v>753</v>
      </c>
      <c r="B4" s="166">
        <v>45702</v>
      </c>
      <c r="C4" s="159"/>
      <c r="D4" s="159"/>
      <c r="E4" s="159"/>
      <c r="F4" s="159"/>
      <c r="G4" s="159"/>
      <c r="H4" s="159"/>
      <c r="I4" s="159"/>
      <c r="J4" s="159"/>
      <c r="K4" s="159"/>
      <c r="L4" s="159"/>
      <c r="M4" s="159"/>
      <c r="N4" s="159"/>
      <c r="O4" s="159"/>
      <c r="P4" s="159"/>
      <c r="Q4" s="160" t="s">
        <v>754</v>
      </c>
    </row>
    <row r="5" spans="1:17" ht="15" x14ac:dyDescent="0.25">
      <c r="A5" s="155" t="s">
        <v>321</v>
      </c>
      <c r="B5" s="155"/>
      <c r="C5" s="156">
        <v>1</v>
      </c>
      <c r="D5" s="156">
        <v>2</v>
      </c>
      <c r="E5" s="156">
        <v>3</v>
      </c>
      <c r="F5" s="156">
        <v>4</v>
      </c>
      <c r="G5" s="156">
        <v>5</v>
      </c>
      <c r="H5" s="156">
        <v>6</v>
      </c>
      <c r="I5" s="156">
        <v>7</v>
      </c>
      <c r="J5" s="156">
        <v>8</v>
      </c>
      <c r="K5" s="156">
        <v>9</v>
      </c>
      <c r="L5" s="156">
        <v>10</v>
      </c>
      <c r="M5" s="156">
        <v>11</v>
      </c>
      <c r="N5" s="156">
        <v>12</v>
      </c>
      <c r="O5" s="156">
        <v>13</v>
      </c>
      <c r="P5" s="156">
        <v>14</v>
      </c>
      <c r="Q5" s="159">
        <v>15</v>
      </c>
    </row>
    <row r="6" spans="1:17" ht="75" x14ac:dyDescent="0.25">
      <c r="A6" s="155" t="s">
        <v>142</v>
      </c>
      <c r="B6" s="155" t="s">
        <v>325</v>
      </c>
      <c r="C6" s="155" t="s">
        <v>305</v>
      </c>
      <c r="D6" s="161" t="s">
        <v>307</v>
      </c>
      <c r="E6" s="161" t="s">
        <v>308</v>
      </c>
      <c r="F6" s="161" t="s">
        <v>309</v>
      </c>
      <c r="G6" s="161" t="s">
        <v>310</v>
      </c>
      <c r="H6" s="161" t="s">
        <v>311</v>
      </c>
      <c r="I6" s="161" t="s">
        <v>312</v>
      </c>
      <c r="J6" s="161" t="s">
        <v>313</v>
      </c>
      <c r="K6" s="161" t="s">
        <v>314</v>
      </c>
      <c r="L6" s="161" t="s">
        <v>315</v>
      </c>
      <c r="M6" s="161" t="s">
        <v>316</v>
      </c>
      <c r="N6" s="161" t="s">
        <v>317</v>
      </c>
      <c r="O6" s="161" t="s">
        <v>318</v>
      </c>
      <c r="P6" s="161" t="s">
        <v>319</v>
      </c>
      <c r="Q6" s="162" t="s">
        <v>320</v>
      </c>
    </row>
    <row r="7" spans="1:17" ht="15" x14ac:dyDescent="0.25">
      <c r="A7" s="156" t="s">
        <v>755</v>
      </c>
      <c r="B7" s="156" t="s">
        <v>756</v>
      </c>
      <c r="C7" s="156" t="s">
        <v>757</v>
      </c>
      <c r="D7" s="156" t="s">
        <v>758</v>
      </c>
      <c r="E7" s="156" t="s">
        <v>759</v>
      </c>
      <c r="F7" s="156" t="s">
        <v>760</v>
      </c>
      <c r="G7" s="156" t="s">
        <v>761</v>
      </c>
      <c r="H7" s="156" t="s">
        <v>111</v>
      </c>
      <c r="I7" s="156" t="s">
        <v>115</v>
      </c>
      <c r="J7" s="156" t="s">
        <v>120</v>
      </c>
      <c r="K7" s="156" t="s">
        <v>124</v>
      </c>
      <c r="L7" s="156" t="s">
        <v>762</v>
      </c>
      <c r="M7" s="156" t="s">
        <v>146</v>
      </c>
      <c r="N7" s="156" t="s">
        <v>150</v>
      </c>
      <c r="O7" s="156" t="s">
        <v>763</v>
      </c>
      <c r="P7" s="156" t="s">
        <v>764</v>
      </c>
      <c r="Q7" s="159" t="s">
        <v>765</v>
      </c>
    </row>
    <row r="8" spans="1:17" ht="15" x14ac:dyDescent="0.25">
      <c r="A8" s="163" t="s">
        <v>337</v>
      </c>
      <c r="B8" s="163" t="s">
        <v>345</v>
      </c>
      <c r="C8" s="163">
        <v>3522</v>
      </c>
      <c r="D8" s="163">
        <v>12155</v>
      </c>
      <c r="E8" s="163">
        <v>5712</v>
      </c>
      <c r="F8" s="163">
        <v>0</v>
      </c>
      <c r="G8" s="163">
        <v>7707</v>
      </c>
      <c r="H8" s="163">
        <v>2.12798</v>
      </c>
      <c r="I8" s="163">
        <v>1.95</v>
      </c>
      <c r="J8" s="163">
        <v>1.14171</v>
      </c>
      <c r="K8" s="163">
        <v>883.30399999999997</v>
      </c>
      <c r="L8" s="163">
        <v>0.13392899999999999</v>
      </c>
      <c r="M8" s="163">
        <v>0.442</v>
      </c>
      <c r="N8" s="163">
        <v>0.70704999999999996</v>
      </c>
      <c r="O8" s="163">
        <v>0.67204661300000001</v>
      </c>
      <c r="P8" s="163">
        <v>2.7</v>
      </c>
      <c r="Q8" s="164">
        <v>-3.4660999999999997E-2</v>
      </c>
    </row>
    <row r="9" spans="1:17" ht="15" x14ac:dyDescent="0.25">
      <c r="A9" s="156" t="s">
        <v>337</v>
      </c>
      <c r="B9" s="156" t="s">
        <v>345</v>
      </c>
      <c r="C9" s="156">
        <v>7104</v>
      </c>
      <c r="D9" s="156">
        <v>125516</v>
      </c>
      <c r="E9" s="156">
        <v>56993</v>
      </c>
      <c r="F9" s="156">
        <v>1536</v>
      </c>
      <c r="G9" s="156">
        <v>69695</v>
      </c>
      <c r="H9" s="156">
        <v>2.2023100000000002</v>
      </c>
      <c r="I9" s="156">
        <v>1.95</v>
      </c>
      <c r="J9" s="156">
        <v>1.13784</v>
      </c>
      <c r="K9" s="156">
        <v>8872.3700000000008</v>
      </c>
      <c r="L9" s="156">
        <v>0.13470499999999999</v>
      </c>
      <c r="M9" s="156">
        <v>0.442</v>
      </c>
      <c r="N9" s="156">
        <v>0.70704999999999996</v>
      </c>
      <c r="O9" s="156">
        <v>0.67204661300000001</v>
      </c>
      <c r="P9" s="156">
        <v>2.7</v>
      </c>
      <c r="Q9" s="159">
        <v>-0.15393899999999999</v>
      </c>
    </row>
    <row r="10" spans="1:17" ht="15" x14ac:dyDescent="0.25">
      <c r="A10" s="163" t="s">
        <v>337</v>
      </c>
      <c r="B10" s="163" t="s">
        <v>343</v>
      </c>
      <c r="C10" s="163">
        <v>1512</v>
      </c>
      <c r="D10" s="163">
        <v>7585</v>
      </c>
      <c r="E10" s="163">
        <v>3706</v>
      </c>
      <c r="F10" s="163">
        <v>373</v>
      </c>
      <c r="G10" s="163">
        <v>4729</v>
      </c>
      <c r="H10" s="163">
        <v>2.0466799999999998</v>
      </c>
      <c r="I10" s="163">
        <v>1.95</v>
      </c>
      <c r="J10" s="163">
        <v>1.20594</v>
      </c>
      <c r="K10" s="163">
        <v>801.06</v>
      </c>
      <c r="L10" s="163">
        <v>0.177734</v>
      </c>
      <c r="M10" s="163">
        <v>0.442</v>
      </c>
      <c r="N10" s="163">
        <v>0.70704999999999996</v>
      </c>
      <c r="O10" s="163">
        <v>0.67204661300000001</v>
      </c>
      <c r="P10" s="163">
        <v>2.7</v>
      </c>
      <c r="Q10" s="164">
        <v>0.16928000000000001</v>
      </c>
    </row>
    <row r="11" spans="1:17" ht="15" x14ac:dyDescent="0.25">
      <c r="A11" s="156" t="s">
        <v>337</v>
      </c>
      <c r="B11" s="156" t="s">
        <v>341</v>
      </c>
      <c r="C11" s="156">
        <v>871</v>
      </c>
      <c r="D11" s="156">
        <v>31174</v>
      </c>
      <c r="E11" s="156">
        <v>16063</v>
      </c>
      <c r="F11" s="156">
        <v>903</v>
      </c>
      <c r="G11" s="156">
        <v>20754</v>
      </c>
      <c r="H11" s="156">
        <v>1.9407300000000001</v>
      </c>
      <c r="I11" s="156">
        <v>1.95</v>
      </c>
      <c r="J11" s="156">
        <v>1.18197</v>
      </c>
      <c r="K11" s="156">
        <v>2909.02</v>
      </c>
      <c r="L11" s="156">
        <v>0.153332</v>
      </c>
      <c r="M11" s="156">
        <v>0.442</v>
      </c>
      <c r="N11" s="156">
        <v>0.70704999999999996</v>
      </c>
      <c r="O11" s="156">
        <v>0.67204661300000001</v>
      </c>
      <c r="P11" s="156">
        <v>2.7</v>
      </c>
      <c r="Q11" s="159">
        <v>0.168099</v>
      </c>
    </row>
    <row r="12" spans="1:17" ht="15" x14ac:dyDescent="0.25">
      <c r="A12" s="163" t="s">
        <v>337</v>
      </c>
      <c r="B12" s="163" t="s">
        <v>352</v>
      </c>
      <c r="C12" s="163">
        <v>99913</v>
      </c>
      <c r="D12" s="163">
        <v>1141</v>
      </c>
      <c r="E12" s="163">
        <v>668</v>
      </c>
      <c r="F12" s="163">
        <v>0</v>
      </c>
      <c r="G12" s="163">
        <v>1038</v>
      </c>
      <c r="H12" s="163">
        <v>1.70808</v>
      </c>
      <c r="I12" s="163">
        <v>1.95</v>
      </c>
      <c r="J12" s="163">
        <v>1.1803300000000001</v>
      </c>
      <c r="K12" s="163">
        <v>105.518</v>
      </c>
      <c r="L12" s="163">
        <v>0.13641300000000001</v>
      </c>
      <c r="M12" s="163">
        <v>0.442</v>
      </c>
      <c r="N12" s="163">
        <v>0.70704999999999996</v>
      </c>
      <c r="O12" s="163">
        <v>0.67204661300000001</v>
      </c>
      <c r="P12" s="163">
        <v>2.7</v>
      </c>
      <c r="Q12" s="164">
        <v>-9.0983400000000006E-2</v>
      </c>
    </row>
    <row r="13" spans="1:17" s="132" customFormat="1" ht="15" x14ac:dyDescent="0.25">
      <c r="A13" s="156" t="s">
        <v>337</v>
      </c>
      <c r="B13" s="156" t="s">
        <v>339</v>
      </c>
      <c r="C13" s="156">
        <v>718</v>
      </c>
      <c r="D13" s="156">
        <v>1482</v>
      </c>
      <c r="E13" s="156">
        <v>768</v>
      </c>
      <c r="F13" s="156">
        <v>0</v>
      </c>
      <c r="G13" s="156">
        <v>2071</v>
      </c>
      <c r="H13" s="156">
        <v>2.3199999999999998</v>
      </c>
      <c r="I13" s="156">
        <v>2.4300000000000002</v>
      </c>
      <c r="J13" s="156">
        <v>1.5593999999999999</v>
      </c>
      <c r="K13" s="156">
        <v>341</v>
      </c>
      <c r="L13" s="156">
        <v>0.78</v>
      </c>
      <c r="M13" s="156">
        <v>0.442</v>
      </c>
      <c r="N13" s="156">
        <v>0.70704999999999996</v>
      </c>
      <c r="O13" s="156">
        <v>0.67204661300000001</v>
      </c>
      <c r="P13" s="156">
        <v>2.7</v>
      </c>
      <c r="Q13" s="159">
        <v>1.7223599999999999E-2</v>
      </c>
    </row>
    <row r="14" spans="1:17" ht="15" x14ac:dyDescent="0.25">
      <c r="A14" s="163" t="s">
        <v>337</v>
      </c>
      <c r="B14" s="163" t="s">
        <v>350</v>
      </c>
      <c r="C14" s="163">
        <v>8626</v>
      </c>
      <c r="D14" s="163">
        <v>542</v>
      </c>
      <c r="E14" s="163">
        <v>333</v>
      </c>
      <c r="F14" s="163">
        <v>0</v>
      </c>
      <c r="G14" s="163">
        <v>494</v>
      </c>
      <c r="H14" s="163">
        <v>1.6276299999999999</v>
      </c>
      <c r="I14" s="163">
        <v>1.95</v>
      </c>
      <c r="J14" s="163">
        <v>1.21366</v>
      </c>
      <c r="K14" s="163">
        <v>59.385599999999997</v>
      </c>
      <c r="L14" s="163">
        <v>0.15134500000000001</v>
      </c>
      <c r="M14" s="163">
        <v>0.442</v>
      </c>
      <c r="N14" s="163">
        <v>0.70704999999999996</v>
      </c>
      <c r="O14" s="163">
        <v>0.67204661300000001</v>
      </c>
      <c r="P14" s="163">
        <v>2.7</v>
      </c>
      <c r="Q14" s="164">
        <v>0.487705</v>
      </c>
    </row>
    <row r="15" spans="1:17" ht="15" x14ac:dyDescent="0.25">
      <c r="A15" s="156" t="s">
        <v>337</v>
      </c>
      <c r="B15" s="156" t="s">
        <v>348</v>
      </c>
      <c r="C15" s="156">
        <v>7768</v>
      </c>
      <c r="D15" s="156">
        <v>70</v>
      </c>
      <c r="E15" s="156">
        <v>46</v>
      </c>
      <c r="F15" s="156">
        <v>0</v>
      </c>
      <c r="G15" s="156">
        <v>334</v>
      </c>
      <c r="H15" s="156">
        <v>1.5217400000000001</v>
      </c>
      <c r="I15" s="156">
        <v>1.95</v>
      </c>
      <c r="J15" s="156">
        <v>1.16848</v>
      </c>
      <c r="K15" s="156">
        <v>6.0479099999999999</v>
      </c>
      <c r="L15" s="156">
        <v>0.116199</v>
      </c>
      <c r="M15" s="156">
        <v>0.442</v>
      </c>
      <c r="N15" s="156">
        <v>0.70704999999999996</v>
      </c>
      <c r="O15" s="156">
        <v>0.67204661300000001</v>
      </c>
      <c r="P15" s="156">
        <v>2.7</v>
      </c>
      <c r="Q15" s="159">
        <v>1.7223599999999999E-2</v>
      </c>
    </row>
    <row r="16" spans="1:17" ht="15" x14ac:dyDescent="0.25">
      <c r="A16" s="163" t="s">
        <v>337</v>
      </c>
      <c r="B16" s="163" t="s">
        <v>354</v>
      </c>
      <c r="C16" s="163">
        <v>99916</v>
      </c>
      <c r="D16" s="163">
        <v>1945</v>
      </c>
      <c r="E16" s="163">
        <v>1071</v>
      </c>
      <c r="F16" s="163">
        <v>0</v>
      </c>
      <c r="G16" s="163">
        <v>1557</v>
      </c>
      <c r="H16" s="163">
        <v>1.81606</v>
      </c>
      <c r="I16" s="163">
        <v>1.95</v>
      </c>
      <c r="J16" s="163">
        <v>1.1803300000000001</v>
      </c>
      <c r="K16" s="163">
        <v>179.87</v>
      </c>
      <c r="L16" s="163">
        <v>0.14379600000000001</v>
      </c>
      <c r="M16" s="163">
        <v>0.442</v>
      </c>
      <c r="N16" s="163">
        <v>0.70704999999999996</v>
      </c>
      <c r="O16" s="163">
        <v>0.67204661300000001</v>
      </c>
      <c r="P16" s="163">
        <v>2.7</v>
      </c>
      <c r="Q16" s="164">
        <v>-9.0983400000000006E-2</v>
      </c>
    </row>
    <row r="17" spans="1:17" ht="15" x14ac:dyDescent="0.25">
      <c r="A17" s="156" t="s">
        <v>355</v>
      </c>
      <c r="B17" s="156" t="s">
        <v>361</v>
      </c>
      <c r="C17" s="156">
        <v>729</v>
      </c>
      <c r="D17" s="156">
        <v>2184</v>
      </c>
      <c r="E17" s="156">
        <v>1143</v>
      </c>
      <c r="F17" s="156">
        <v>0</v>
      </c>
      <c r="G17" s="156">
        <v>1382</v>
      </c>
      <c r="H17" s="156">
        <v>1.91076</v>
      </c>
      <c r="I17" s="156">
        <v>1.95</v>
      </c>
      <c r="J17" s="156">
        <v>1.0984100000000001</v>
      </c>
      <c r="K17" s="156">
        <v>110.21599999999999</v>
      </c>
      <c r="L17" s="156">
        <v>8.7946700000000003E-2</v>
      </c>
      <c r="M17" s="156">
        <v>0.56699999999999995</v>
      </c>
      <c r="N17" s="156">
        <v>0.77268000000000003</v>
      </c>
      <c r="O17" s="156">
        <v>0.59446223099999995</v>
      </c>
      <c r="P17" s="156">
        <v>2.2999999999999998</v>
      </c>
      <c r="Q17" s="159">
        <v>-0.47904200000000002</v>
      </c>
    </row>
    <row r="18" spans="1:17" ht="15" x14ac:dyDescent="0.25">
      <c r="A18" s="163" t="s">
        <v>355</v>
      </c>
      <c r="B18" s="163" t="s">
        <v>361</v>
      </c>
      <c r="C18" s="163">
        <v>2842</v>
      </c>
      <c r="D18" s="163">
        <v>20040</v>
      </c>
      <c r="E18" s="163">
        <v>8377</v>
      </c>
      <c r="F18" s="163">
        <v>46</v>
      </c>
      <c r="G18" s="163">
        <v>9109</v>
      </c>
      <c r="H18" s="163">
        <v>2.3922599999999998</v>
      </c>
      <c r="I18" s="163">
        <v>1.95</v>
      </c>
      <c r="J18" s="163">
        <v>1.0406200000000001</v>
      </c>
      <c r="K18" s="163">
        <v>417.44600000000003</v>
      </c>
      <c r="L18" s="163">
        <v>4.7467000000000002E-2</v>
      </c>
      <c r="M18" s="163">
        <v>0.56699999999999995</v>
      </c>
      <c r="N18" s="163">
        <v>0.77268000000000003</v>
      </c>
      <c r="O18" s="163">
        <v>0.59446223099999995</v>
      </c>
      <c r="P18" s="163">
        <v>2.2999999999999998</v>
      </c>
      <c r="Q18" s="164">
        <v>-0.37138599999999999</v>
      </c>
    </row>
    <row r="19" spans="1:17" ht="15" x14ac:dyDescent="0.25">
      <c r="A19" s="156" t="s">
        <v>355</v>
      </c>
      <c r="B19" s="156" t="s">
        <v>361</v>
      </c>
      <c r="C19" s="156">
        <v>7121</v>
      </c>
      <c r="D19" s="156">
        <v>30977</v>
      </c>
      <c r="E19" s="156">
        <v>14861</v>
      </c>
      <c r="F19" s="156">
        <v>1826</v>
      </c>
      <c r="G19" s="156">
        <v>17129</v>
      </c>
      <c r="H19" s="156">
        <v>2.0844499999999999</v>
      </c>
      <c r="I19" s="156">
        <v>1.95</v>
      </c>
      <c r="J19" s="156">
        <v>1.0728899999999999</v>
      </c>
      <c r="K19" s="156">
        <v>1157.8800000000001</v>
      </c>
      <c r="L19" s="156">
        <v>7.2281999999999999E-2</v>
      </c>
      <c r="M19" s="156">
        <v>0.56699999999999995</v>
      </c>
      <c r="N19" s="156">
        <v>0.77268000000000003</v>
      </c>
      <c r="O19" s="156">
        <v>0.59446223099999995</v>
      </c>
      <c r="P19" s="156">
        <v>2.2999999999999998</v>
      </c>
      <c r="Q19" s="159">
        <v>0.17067599999999999</v>
      </c>
    </row>
    <row r="20" spans="1:17" ht="15" x14ac:dyDescent="0.25">
      <c r="A20" s="163" t="s">
        <v>355</v>
      </c>
      <c r="B20" s="163" t="s">
        <v>361</v>
      </c>
      <c r="C20" s="163">
        <v>7295</v>
      </c>
      <c r="D20" s="163">
        <v>377</v>
      </c>
      <c r="E20" s="163">
        <v>149</v>
      </c>
      <c r="F20" s="163">
        <v>0</v>
      </c>
      <c r="G20" s="163">
        <v>177</v>
      </c>
      <c r="H20" s="163">
        <v>2.5301999999999998</v>
      </c>
      <c r="I20" s="163">
        <v>1.95</v>
      </c>
      <c r="J20" s="163">
        <v>1.07694</v>
      </c>
      <c r="K20" s="163">
        <v>14.875299999999999</v>
      </c>
      <c r="L20" s="163">
        <v>9.0771900000000003E-2</v>
      </c>
      <c r="M20" s="163">
        <v>0.56699999999999995</v>
      </c>
      <c r="N20" s="163">
        <v>0.77268000000000003</v>
      </c>
      <c r="O20" s="163">
        <v>0.59446223099999995</v>
      </c>
      <c r="P20" s="163">
        <v>2.2999999999999998</v>
      </c>
      <c r="Q20" s="164">
        <v>1.10524</v>
      </c>
    </row>
    <row r="21" spans="1:17" ht="15" x14ac:dyDescent="0.25">
      <c r="A21" s="156" t="s">
        <v>355</v>
      </c>
      <c r="B21" s="156" t="s">
        <v>361</v>
      </c>
      <c r="C21" s="156">
        <v>7784</v>
      </c>
      <c r="D21" s="156">
        <v>362</v>
      </c>
      <c r="E21" s="156">
        <v>148</v>
      </c>
      <c r="F21" s="156">
        <v>0</v>
      </c>
      <c r="G21" s="156">
        <v>164</v>
      </c>
      <c r="H21" s="156">
        <v>2.4459499999999998</v>
      </c>
      <c r="I21" s="156">
        <v>1.95</v>
      </c>
      <c r="J21" s="156">
        <v>1.0984100000000001</v>
      </c>
      <c r="K21" s="156">
        <v>18.2684</v>
      </c>
      <c r="L21" s="156">
        <v>0.109873</v>
      </c>
      <c r="M21" s="156">
        <v>0.56699999999999995</v>
      </c>
      <c r="N21" s="156">
        <v>0.77268000000000003</v>
      </c>
      <c r="O21" s="156">
        <v>0.59446223099999995</v>
      </c>
      <c r="P21" s="156">
        <v>2.2999999999999998</v>
      </c>
      <c r="Q21" s="159">
        <v>0.12343800000000001</v>
      </c>
    </row>
    <row r="22" spans="1:17" ht="15" x14ac:dyDescent="0.25">
      <c r="A22" s="163" t="s">
        <v>355</v>
      </c>
      <c r="B22" s="163" t="s">
        <v>361</v>
      </c>
      <c r="C22" s="163">
        <v>7879</v>
      </c>
      <c r="D22" s="163">
        <v>602</v>
      </c>
      <c r="E22" s="163">
        <v>292</v>
      </c>
      <c r="F22" s="163">
        <v>0</v>
      </c>
      <c r="G22" s="163">
        <v>307</v>
      </c>
      <c r="H22" s="163">
        <v>2.0616400000000001</v>
      </c>
      <c r="I22" s="163">
        <v>1.95</v>
      </c>
      <c r="J22" s="163">
        <v>1.1892499999999999</v>
      </c>
      <c r="K22" s="163">
        <v>58.4238</v>
      </c>
      <c r="L22" s="163">
        <v>0.16672300000000001</v>
      </c>
      <c r="M22" s="163">
        <v>0.56699999999999995</v>
      </c>
      <c r="N22" s="163">
        <v>0.77268000000000003</v>
      </c>
      <c r="O22" s="163">
        <v>0.59446223099999995</v>
      </c>
      <c r="P22" s="163">
        <v>2.2999999999999998</v>
      </c>
      <c r="Q22" s="164">
        <v>-0.70616400000000001</v>
      </c>
    </row>
    <row r="23" spans="1:17" ht="15" x14ac:dyDescent="0.25">
      <c r="A23" s="156" t="s">
        <v>355</v>
      </c>
      <c r="B23" s="156" t="s">
        <v>361</v>
      </c>
      <c r="C23" s="156">
        <v>9791</v>
      </c>
      <c r="D23" s="156">
        <v>11670</v>
      </c>
      <c r="E23" s="156">
        <v>5642</v>
      </c>
      <c r="F23" s="156">
        <v>80</v>
      </c>
      <c r="G23" s="156">
        <v>6442</v>
      </c>
      <c r="H23" s="156">
        <v>2.0684200000000001</v>
      </c>
      <c r="I23" s="156">
        <v>1.95</v>
      </c>
      <c r="J23" s="156">
        <v>1.07301</v>
      </c>
      <c r="K23" s="156">
        <v>436.959</v>
      </c>
      <c r="L23" s="156">
        <v>7.18805E-2</v>
      </c>
      <c r="M23" s="156">
        <v>0.56699999999999995</v>
      </c>
      <c r="N23" s="156">
        <v>0.77268000000000003</v>
      </c>
      <c r="O23" s="156">
        <v>0.59446223099999995</v>
      </c>
      <c r="P23" s="156">
        <v>2.2999999999999998</v>
      </c>
      <c r="Q23" s="159">
        <v>-0.245061</v>
      </c>
    </row>
    <row r="24" spans="1:17" ht="15" x14ac:dyDescent="0.25">
      <c r="A24" s="163" t="s">
        <v>355</v>
      </c>
      <c r="B24" s="163" t="s">
        <v>357</v>
      </c>
      <c r="C24" s="163">
        <v>207</v>
      </c>
      <c r="D24" s="163">
        <v>4891</v>
      </c>
      <c r="E24" s="163">
        <v>2442</v>
      </c>
      <c r="F24" s="163">
        <v>264</v>
      </c>
      <c r="G24" s="163">
        <v>3224</v>
      </c>
      <c r="H24" s="163">
        <v>2.0028700000000002</v>
      </c>
      <c r="I24" s="163">
        <v>1.95</v>
      </c>
      <c r="J24" s="163">
        <v>1.0867</v>
      </c>
      <c r="K24" s="163">
        <v>217.459</v>
      </c>
      <c r="L24" s="163">
        <v>8.1767999999999993E-2</v>
      </c>
      <c r="M24" s="163">
        <v>0.56699999999999995</v>
      </c>
      <c r="N24" s="163">
        <v>0.77268000000000003</v>
      </c>
      <c r="O24" s="163">
        <v>0.59446223099999995</v>
      </c>
      <c r="P24" s="163">
        <v>2.2999999999999998</v>
      </c>
      <c r="Q24" s="164">
        <v>0.51644500000000004</v>
      </c>
    </row>
    <row r="25" spans="1:17" ht="15" x14ac:dyDescent="0.25">
      <c r="A25" s="156" t="s">
        <v>355</v>
      </c>
      <c r="B25" s="156" t="s">
        <v>359</v>
      </c>
      <c r="C25" s="156">
        <v>419</v>
      </c>
      <c r="D25" s="156">
        <v>25724</v>
      </c>
      <c r="E25" s="156">
        <v>12027</v>
      </c>
      <c r="F25" s="156">
        <v>493</v>
      </c>
      <c r="G25" s="156">
        <v>13836</v>
      </c>
      <c r="H25" s="156">
        <v>2.1388500000000001</v>
      </c>
      <c r="I25" s="156">
        <v>1.95</v>
      </c>
      <c r="J25" s="156">
        <v>1.08142</v>
      </c>
      <c r="K25" s="156">
        <v>1074.1099999999999</v>
      </c>
      <c r="L25" s="156">
        <v>8.1986000000000003E-2</v>
      </c>
      <c r="M25" s="156">
        <v>0.56699999999999995</v>
      </c>
      <c r="N25" s="156">
        <v>0.77268000000000003</v>
      </c>
      <c r="O25" s="156">
        <v>0.59446223099999995</v>
      </c>
      <c r="P25" s="156">
        <v>2.2999999999999998</v>
      </c>
      <c r="Q25" s="159">
        <v>7.2375200000000001E-2</v>
      </c>
    </row>
    <row r="26" spans="1:17" ht="15" x14ac:dyDescent="0.25">
      <c r="A26" s="163" t="s">
        <v>355</v>
      </c>
      <c r="B26" s="163" t="s">
        <v>374</v>
      </c>
      <c r="C26" s="163">
        <v>4753</v>
      </c>
      <c r="D26" s="163">
        <v>1192</v>
      </c>
      <c r="E26" s="163">
        <v>536</v>
      </c>
      <c r="F26" s="163">
        <v>9</v>
      </c>
      <c r="G26" s="163">
        <v>579</v>
      </c>
      <c r="H26" s="163">
        <v>2.2238799999999999</v>
      </c>
      <c r="I26" s="163">
        <v>1.95</v>
      </c>
      <c r="J26" s="163">
        <v>1.1082099999999999</v>
      </c>
      <c r="K26" s="163">
        <v>66.146000000000001</v>
      </c>
      <c r="L26" s="163">
        <v>0.10985</v>
      </c>
      <c r="M26" s="163">
        <v>0.56699999999999995</v>
      </c>
      <c r="N26" s="163">
        <v>0.77268000000000003</v>
      </c>
      <c r="O26" s="163">
        <v>0.59446223099999995</v>
      </c>
      <c r="P26" s="163">
        <v>2.2999999999999998</v>
      </c>
      <c r="Q26" s="164">
        <v>-0.32434499999999999</v>
      </c>
    </row>
    <row r="27" spans="1:17" ht="15" x14ac:dyDescent="0.25">
      <c r="A27" s="156" t="s">
        <v>355</v>
      </c>
      <c r="B27" s="156" t="s">
        <v>363</v>
      </c>
      <c r="C27" s="156">
        <v>1118</v>
      </c>
      <c r="D27" s="156">
        <v>7754</v>
      </c>
      <c r="E27" s="156">
        <v>3700</v>
      </c>
      <c r="F27" s="156">
        <v>22</v>
      </c>
      <c r="G27" s="156">
        <v>4509</v>
      </c>
      <c r="H27" s="156">
        <v>2.0956800000000002</v>
      </c>
      <c r="I27" s="156">
        <v>1.95</v>
      </c>
      <c r="J27" s="156">
        <v>1.1892499999999999</v>
      </c>
      <c r="K27" s="156">
        <v>752.52200000000005</v>
      </c>
      <c r="L27" s="156">
        <v>0.16900999999999999</v>
      </c>
      <c r="M27" s="156">
        <v>0.56699999999999995</v>
      </c>
      <c r="N27" s="156">
        <v>0.77268000000000003</v>
      </c>
      <c r="O27" s="156">
        <v>0.59446223099999995</v>
      </c>
      <c r="P27" s="156">
        <v>2.2999999999999998</v>
      </c>
      <c r="Q27" s="159">
        <v>-0.43121399999999999</v>
      </c>
    </row>
    <row r="28" spans="1:17" ht="15" x14ac:dyDescent="0.25">
      <c r="A28" s="163" t="s">
        <v>355</v>
      </c>
      <c r="B28" s="163" t="s">
        <v>766</v>
      </c>
      <c r="C28" s="163">
        <v>9532</v>
      </c>
      <c r="D28" s="163">
        <v>241</v>
      </c>
      <c r="E28" s="163">
        <v>154</v>
      </c>
      <c r="F28" s="163">
        <v>0</v>
      </c>
      <c r="G28" s="163">
        <v>230</v>
      </c>
      <c r="H28" s="163">
        <v>1.56494</v>
      </c>
      <c r="I28" s="163">
        <v>1.95</v>
      </c>
      <c r="J28" s="163">
        <v>1.09457</v>
      </c>
      <c r="K28" s="163">
        <v>11.6883</v>
      </c>
      <c r="L28" s="163">
        <v>7.0543700000000001E-2</v>
      </c>
      <c r="M28" s="163">
        <v>0.56699999999999995</v>
      </c>
      <c r="N28" s="163">
        <v>0.77268000000000003</v>
      </c>
      <c r="O28" s="163">
        <v>0.59446223099999995</v>
      </c>
      <c r="P28" s="163">
        <v>2.2999999999999998</v>
      </c>
      <c r="Q28" s="164">
        <v>-0.30601400000000001</v>
      </c>
    </row>
    <row r="29" spans="1:17" ht="15" x14ac:dyDescent="0.25">
      <c r="A29" s="156" t="s">
        <v>355</v>
      </c>
      <c r="B29" s="156" t="s">
        <v>767</v>
      </c>
      <c r="C29" s="156">
        <v>8623</v>
      </c>
      <c r="D29" s="156">
        <v>53</v>
      </c>
      <c r="E29" s="156">
        <v>26</v>
      </c>
      <c r="F29" s="156">
        <v>0</v>
      </c>
      <c r="G29" s="156">
        <v>47</v>
      </c>
      <c r="H29" s="156">
        <v>2.0384600000000002</v>
      </c>
      <c r="I29" s="156">
        <v>1.95</v>
      </c>
      <c r="J29" s="156">
        <v>1.21417</v>
      </c>
      <c r="K29" s="156">
        <v>5.8209600000000004</v>
      </c>
      <c r="L29" s="156">
        <v>0.18292800000000001</v>
      </c>
      <c r="M29" s="156">
        <v>0.56699999999999995</v>
      </c>
      <c r="N29" s="156">
        <v>0.77268000000000003</v>
      </c>
      <c r="O29" s="156">
        <v>0.59446223099999995</v>
      </c>
      <c r="P29" s="156">
        <v>2.2999999999999998</v>
      </c>
      <c r="Q29" s="159">
        <v>-0.46941699999999997</v>
      </c>
    </row>
    <row r="30" spans="1:17" ht="15" x14ac:dyDescent="0.25">
      <c r="A30" s="163" t="s">
        <v>355</v>
      </c>
      <c r="B30" s="163" t="s">
        <v>376</v>
      </c>
      <c r="C30" s="163">
        <v>6691</v>
      </c>
      <c r="D30" s="163">
        <v>1536</v>
      </c>
      <c r="E30" s="163">
        <v>749</v>
      </c>
      <c r="F30" s="163">
        <v>0</v>
      </c>
      <c r="G30" s="163">
        <v>864</v>
      </c>
      <c r="H30" s="163">
        <v>2.0507300000000002</v>
      </c>
      <c r="I30" s="163">
        <v>1.95</v>
      </c>
      <c r="J30" s="163">
        <v>1.0934200000000001</v>
      </c>
      <c r="K30" s="163">
        <v>73.584500000000006</v>
      </c>
      <c r="L30" s="163">
        <v>8.9455300000000001E-2</v>
      </c>
      <c r="M30" s="163">
        <v>0.56699999999999995</v>
      </c>
      <c r="N30" s="163">
        <v>0.77268000000000003</v>
      </c>
      <c r="O30" s="163">
        <v>0.59446223099999995</v>
      </c>
      <c r="P30" s="163">
        <v>2.2999999999999998</v>
      </c>
      <c r="Q30" s="164">
        <v>-0.27404600000000001</v>
      </c>
    </row>
    <row r="31" spans="1:17" ht="15" x14ac:dyDescent="0.25">
      <c r="A31" s="156" t="s">
        <v>355</v>
      </c>
      <c r="B31" s="156" t="s">
        <v>372</v>
      </c>
      <c r="C31" s="156">
        <v>4406</v>
      </c>
      <c r="D31" s="156">
        <v>6667</v>
      </c>
      <c r="E31" s="156">
        <v>3237</v>
      </c>
      <c r="F31" s="156">
        <v>167</v>
      </c>
      <c r="G31" s="156">
        <v>4486</v>
      </c>
      <c r="H31" s="156">
        <v>2.0596199999999998</v>
      </c>
      <c r="I31" s="156">
        <v>1.95</v>
      </c>
      <c r="J31" s="156">
        <v>1.1372199999999999</v>
      </c>
      <c r="K31" s="156">
        <v>469.13600000000002</v>
      </c>
      <c r="L31" s="156">
        <v>0.126584</v>
      </c>
      <c r="M31" s="156">
        <v>0.56699999999999995</v>
      </c>
      <c r="N31" s="156">
        <v>0.77268000000000003</v>
      </c>
      <c r="O31" s="156">
        <v>0.59446223099999995</v>
      </c>
      <c r="P31" s="156">
        <v>2.2999999999999998</v>
      </c>
      <c r="Q31" s="159">
        <v>0.449075</v>
      </c>
    </row>
    <row r="32" spans="1:17" ht="15" x14ac:dyDescent="0.25">
      <c r="A32" s="163" t="s">
        <v>355</v>
      </c>
      <c r="B32" s="163" t="s">
        <v>768</v>
      </c>
      <c r="C32" s="163">
        <v>4008</v>
      </c>
      <c r="D32" s="163">
        <v>204</v>
      </c>
      <c r="E32" s="163">
        <v>133</v>
      </c>
      <c r="F32" s="163">
        <v>0</v>
      </c>
      <c r="G32" s="163">
        <v>139</v>
      </c>
      <c r="H32" s="163">
        <v>1.53383</v>
      </c>
      <c r="I32" s="163">
        <v>1.95</v>
      </c>
      <c r="J32" s="163">
        <v>1.06955</v>
      </c>
      <c r="K32" s="163">
        <v>7.2762399999999996</v>
      </c>
      <c r="L32" s="163">
        <v>5.1870800000000002E-2</v>
      </c>
      <c r="M32" s="163">
        <v>0.56699999999999995</v>
      </c>
      <c r="N32" s="163">
        <v>0.77268000000000003</v>
      </c>
      <c r="O32" s="163">
        <v>0.59446223099999995</v>
      </c>
      <c r="P32" s="163">
        <v>2.2999999999999998</v>
      </c>
      <c r="Q32" s="164">
        <v>0.110862</v>
      </c>
    </row>
    <row r="33" spans="1:17" ht="15" x14ac:dyDescent="0.25">
      <c r="A33" s="156" t="s">
        <v>355</v>
      </c>
      <c r="B33" s="156" t="s">
        <v>769</v>
      </c>
      <c r="C33" s="156">
        <v>872</v>
      </c>
      <c r="D33" s="156">
        <v>234</v>
      </c>
      <c r="E33" s="156">
        <v>178</v>
      </c>
      <c r="F33" s="156">
        <v>0</v>
      </c>
      <c r="G33" s="156">
        <v>211</v>
      </c>
      <c r="H33" s="156">
        <v>1.3146100000000001</v>
      </c>
      <c r="I33" s="156">
        <v>1.95</v>
      </c>
      <c r="J33" s="156">
        <v>1.06955</v>
      </c>
      <c r="K33" s="156">
        <v>8.3462800000000001</v>
      </c>
      <c r="L33" s="156">
        <v>4.4789099999999998E-2</v>
      </c>
      <c r="M33" s="156">
        <v>0.56699999999999995</v>
      </c>
      <c r="N33" s="156">
        <v>0.77268000000000003</v>
      </c>
      <c r="O33" s="156">
        <v>0.59446223099999995</v>
      </c>
      <c r="P33" s="156">
        <v>2.2999999999999998</v>
      </c>
      <c r="Q33" s="159">
        <v>0.110862</v>
      </c>
    </row>
    <row r="34" spans="1:17" ht="15" x14ac:dyDescent="0.25">
      <c r="A34" s="163" t="s">
        <v>355</v>
      </c>
      <c r="B34" s="163" t="s">
        <v>381</v>
      </c>
      <c r="C34" s="163">
        <v>8147</v>
      </c>
      <c r="D34" s="163">
        <v>737</v>
      </c>
      <c r="E34" s="163">
        <v>400</v>
      </c>
      <c r="F34" s="163">
        <v>0</v>
      </c>
      <c r="G34" s="163">
        <v>523</v>
      </c>
      <c r="H34" s="163">
        <v>1.8425</v>
      </c>
      <c r="I34" s="163">
        <v>1.95</v>
      </c>
      <c r="J34" s="163">
        <v>1.0984100000000001</v>
      </c>
      <c r="K34" s="163">
        <v>37.192900000000002</v>
      </c>
      <c r="L34" s="163">
        <v>8.5072200000000001E-2</v>
      </c>
      <c r="M34" s="163">
        <v>0.56699999999999995</v>
      </c>
      <c r="N34" s="163">
        <v>0.77268000000000003</v>
      </c>
      <c r="O34" s="163">
        <v>0.59446223099999995</v>
      </c>
      <c r="P34" s="163">
        <v>2.2999999999999998</v>
      </c>
      <c r="Q34" s="164">
        <v>-9.3794100000000005E-2</v>
      </c>
    </row>
    <row r="35" spans="1:17" ht="15" x14ac:dyDescent="0.25">
      <c r="A35" s="156" t="s">
        <v>355</v>
      </c>
      <c r="B35" s="156" t="s">
        <v>390</v>
      </c>
      <c r="C35" s="156">
        <v>20230</v>
      </c>
      <c r="D35" s="156">
        <v>4007</v>
      </c>
      <c r="E35" s="156">
        <v>2096</v>
      </c>
      <c r="F35" s="156">
        <v>0</v>
      </c>
      <c r="G35" s="156">
        <v>2984</v>
      </c>
      <c r="H35" s="156">
        <v>1.91174</v>
      </c>
      <c r="I35" s="156">
        <v>1.95</v>
      </c>
      <c r="J35" s="156">
        <v>1.0727599999999999</v>
      </c>
      <c r="K35" s="156">
        <v>149.506</v>
      </c>
      <c r="L35" s="156">
        <v>6.6580100000000003E-2</v>
      </c>
      <c r="M35" s="156">
        <v>0.56699999999999995</v>
      </c>
      <c r="N35" s="156">
        <v>0.77268000000000003</v>
      </c>
      <c r="O35" s="156">
        <v>0.59446223099999995</v>
      </c>
      <c r="P35" s="156">
        <v>2.2999999999999998</v>
      </c>
      <c r="Q35" s="159">
        <v>0.51644500000000004</v>
      </c>
    </row>
    <row r="36" spans="1:17" ht="15" x14ac:dyDescent="0.25">
      <c r="A36" s="163" t="s">
        <v>355</v>
      </c>
      <c r="B36" s="163" t="s">
        <v>370</v>
      </c>
      <c r="C36" s="163">
        <v>4153</v>
      </c>
      <c r="D36" s="163">
        <v>12076</v>
      </c>
      <c r="E36" s="163">
        <v>5764</v>
      </c>
      <c r="F36" s="163">
        <v>23</v>
      </c>
      <c r="G36" s="163">
        <v>6392</v>
      </c>
      <c r="H36" s="163">
        <v>2.0950700000000002</v>
      </c>
      <c r="I36" s="163">
        <v>1.95</v>
      </c>
      <c r="J36" s="163">
        <v>1.05661</v>
      </c>
      <c r="K36" s="163">
        <v>350.59199999999998</v>
      </c>
      <c r="L36" s="163">
        <v>5.7336900000000003E-2</v>
      </c>
      <c r="M36" s="163">
        <v>0.56699999999999995</v>
      </c>
      <c r="N36" s="163">
        <v>0.77268000000000003</v>
      </c>
      <c r="O36" s="163">
        <v>0.59446223099999995</v>
      </c>
      <c r="P36" s="163">
        <v>2.2999999999999998</v>
      </c>
      <c r="Q36" s="164">
        <v>-0.329924</v>
      </c>
    </row>
    <row r="37" spans="1:17" ht="15" x14ac:dyDescent="0.25">
      <c r="A37" s="156" t="s">
        <v>355</v>
      </c>
      <c r="B37" s="156" t="s">
        <v>365</v>
      </c>
      <c r="C37" s="156">
        <v>1345</v>
      </c>
      <c r="D37" s="156">
        <v>394</v>
      </c>
      <c r="E37" s="156">
        <v>239</v>
      </c>
      <c r="F37" s="156">
        <v>0</v>
      </c>
      <c r="G37" s="156">
        <v>279</v>
      </c>
      <c r="H37" s="156">
        <v>1.6485399999999999</v>
      </c>
      <c r="I37" s="156">
        <v>1.95</v>
      </c>
      <c r="J37" s="156">
        <v>1.07714</v>
      </c>
      <c r="K37" s="156">
        <v>15.5867</v>
      </c>
      <c r="L37" s="156">
        <v>6.1223699999999999E-2</v>
      </c>
      <c r="M37" s="156">
        <v>0.56699999999999995</v>
      </c>
      <c r="N37" s="156">
        <v>0.77268000000000003</v>
      </c>
      <c r="O37" s="156">
        <v>0.59446223099999995</v>
      </c>
      <c r="P37" s="156">
        <v>2.2999999999999998</v>
      </c>
      <c r="Q37" s="159">
        <v>-0.50578900000000004</v>
      </c>
    </row>
    <row r="38" spans="1:17" ht="15" x14ac:dyDescent="0.25">
      <c r="A38" s="163" t="s">
        <v>355</v>
      </c>
      <c r="B38" s="163" t="s">
        <v>770</v>
      </c>
      <c r="C38" s="163">
        <v>9097</v>
      </c>
      <c r="D38" s="163">
        <v>469</v>
      </c>
      <c r="E38" s="163">
        <v>217</v>
      </c>
      <c r="F38" s="163">
        <v>0</v>
      </c>
      <c r="G38" s="163">
        <v>245</v>
      </c>
      <c r="H38" s="163">
        <v>2.1612900000000002</v>
      </c>
      <c r="I38" s="163">
        <v>1.95</v>
      </c>
      <c r="J38" s="163">
        <v>1.1892499999999999</v>
      </c>
      <c r="K38" s="163">
        <v>45.516199999999998</v>
      </c>
      <c r="L38" s="163">
        <v>0.17338400000000001</v>
      </c>
      <c r="M38" s="163">
        <v>0.56699999999999995</v>
      </c>
      <c r="N38" s="163">
        <v>0.77268000000000003</v>
      </c>
      <c r="O38" s="163">
        <v>0.59446223099999995</v>
      </c>
      <c r="P38" s="163">
        <v>2.2999999999999998</v>
      </c>
      <c r="Q38" s="164">
        <v>-0.70616400000000001</v>
      </c>
    </row>
    <row r="39" spans="1:17" ht="15" x14ac:dyDescent="0.25">
      <c r="A39" s="156" t="s">
        <v>355</v>
      </c>
      <c r="B39" s="156" t="s">
        <v>388</v>
      </c>
      <c r="C39" s="156">
        <v>11839</v>
      </c>
      <c r="D39" s="156">
        <v>858</v>
      </c>
      <c r="E39" s="156">
        <v>523</v>
      </c>
      <c r="F39" s="156">
        <v>0</v>
      </c>
      <c r="G39" s="156">
        <v>627</v>
      </c>
      <c r="H39" s="156">
        <v>1.6405400000000001</v>
      </c>
      <c r="I39" s="156">
        <v>1.95</v>
      </c>
      <c r="J39" s="156">
        <v>1.07301</v>
      </c>
      <c r="K39" s="156">
        <v>32.125999999999998</v>
      </c>
      <c r="L39" s="156">
        <v>5.7871600000000002E-2</v>
      </c>
      <c r="M39" s="156">
        <v>0.56699999999999995</v>
      </c>
      <c r="N39" s="156">
        <v>0.77268000000000003</v>
      </c>
      <c r="O39" s="156">
        <v>0.59446223099999995</v>
      </c>
      <c r="P39" s="156">
        <v>2.2999999999999998</v>
      </c>
      <c r="Q39" s="159">
        <v>-0.264936</v>
      </c>
    </row>
    <row r="40" spans="1:17" ht="15" x14ac:dyDescent="0.25">
      <c r="A40" s="163" t="s">
        <v>391</v>
      </c>
      <c r="B40" s="163" t="s">
        <v>393</v>
      </c>
      <c r="C40" s="163">
        <v>4725</v>
      </c>
      <c r="D40" s="163">
        <v>11547</v>
      </c>
      <c r="E40" s="163">
        <v>4320</v>
      </c>
      <c r="F40" s="163">
        <v>365</v>
      </c>
      <c r="G40" s="163">
        <v>5123</v>
      </c>
      <c r="H40" s="163">
        <v>2.67292</v>
      </c>
      <c r="I40" s="163">
        <v>1.95</v>
      </c>
      <c r="J40" s="163">
        <v>1.1270800000000001</v>
      </c>
      <c r="K40" s="163">
        <v>752.50800000000004</v>
      </c>
      <c r="L40" s="163">
        <v>0.14835000000000001</v>
      </c>
      <c r="M40" s="163">
        <v>0.56699999999999995</v>
      </c>
      <c r="N40" s="163">
        <v>0.77268000000000003</v>
      </c>
      <c r="O40" s="163">
        <v>0.55268598700000005</v>
      </c>
      <c r="P40" s="163">
        <v>2.2999999999999998</v>
      </c>
      <c r="Q40" s="164">
        <v>-0.60567199999999999</v>
      </c>
    </row>
    <row r="41" spans="1:17" ht="15" x14ac:dyDescent="0.25">
      <c r="A41" s="156" t="s">
        <v>391</v>
      </c>
      <c r="B41" s="156" t="s">
        <v>395</v>
      </c>
      <c r="C41" s="156">
        <v>20457</v>
      </c>
      <c r="D41" s="156">
        <v>10953</v>
      </c>
      <c r="E41" s="156">
        <v>4907</v>
      </c>
      <c r="F41" s="156">
        <v>249</v>
      </c>
      <c r="G41" s="156">
        <v>6849</v>
      </c>
      <c r="H41" s="156">
        <v>2.2321200000000001</v>
      </c>
      <c r="I41" s="156">
        <v>1.95</v>
      </c>
      <c r="J41" s="156">
        <v>1.3086199999999999</v>
      </c>
      <c r="K41" s="156">
        <v>1733.51</v>
      </c>
      <c r="L41" s="156">
        <v>0.26105099999999998</v>
      </c>
      <c r="M41" s="156">
        <v>0.56699999999999995</v>
      </c>
      <c r="N41" s="156">
        <v>0.77268000000000003</v>
      </c>
      <c r="O41" s="156">
        <v>0.55268598700000005</v>
      </c>
      <c r="P41" s="156">
        <v>2.2999999999999998</v>
      </c>
      <c r="Q41" s="159">
        <v>-0.80090600000000001</v>
      </c>
    </row>
    <row r="42" spans="1:17" ht="15" x14ac:dyDescent="0.25">
      <c r="A42" s="163" t="s">
        <v>391</v>
      </c>
      <c r="B42" s="163" t="s">
        <v>771</v>
      </c>
      <c r="C42" s="163">
        <v>6483</v>
      </c>
      <c r="D42" s="163">
        <v>1288</v>
      </c>
      <c r="E42" s="163">
        <v>460</v>
      </c>
      <c r="F42" s="163">
        <v>0</v>
      </c>
      <c r="G42" s="163">
        <v>533</v>
      </c>
      <c r="H42" s="163">
        <v>2.8</v>
      </c>
      <c r="I42" s="163">
        <v>1.95</v>
      </c>
      <c r="J42" s="163">
        <v>1.1270800000000001</v>
      </c>
      <c r="K42" s="163">
        <v>83.937899999999999</v>
      </c>
      <c r="L42" s="163">
        <v>0.15431500000000001</v>
      </c>
      <c r="M42" s="163">
        <v>0.56699999999999995</v>
      </c>
      <c r="N42" s="163">
        <v>0.77268000000000003</v>
      </c>
      <c r="O42" s="163">
        <v>0.55268598700000005</v>
      </c>
      <c r="P42" s="163">
        <v>2.2999999999999998</v>
      </c>
      <c r="Q42" s="164">
        <v>-0.54767999999999994</v>
      </c>
    </row>
    <row r="43" spans="1:17" ht="15" x14ac:dyDescent="0.25">
      <c r="A43" s="156" t="s">
        <v>396</v>
      </c>
      <c r="B43" s="156" t="s">
        <v>398</v>
      </c>
      <c r="C43" s="156">
        <v>30</v>
      </c>
      <c r="D43" s="156">
        <v>3085</v>
      </c>
      <c r="E43" s="156">
        <v>1015</v>
      </c>
      <c r="F43" s="156">
        <v>0</v>
      </c>
      <c r="G43" s="156">
        <v>1440</v>
      </c>
      <c r="H43" s="156">
        <v>3.0394100000000002</v>
      </c>
      <c r="I43" s="156">
        <v>1.95</v>
      </c>
      <c r="J43" s="156">
        <v>1.09538</v>
      </c>
      <c r="K43" s="156">
        <v>150.9</v>
      </c>
      <c r="L43" s="156">
        <v>0.12942799999999999</v>
      </c>
      <c r="M43" s="156">
        <v>0.56699999999999995</v>
      </c>
      <c r="N43" s="156">
        <v>0.77268000000000003</v>
      </c>
      <c r="O43" s="156">
        <v>0.55268598700000005</v>
      </c>
      <c r="P43" s="156">
        <v>2.2999999999999998</v>
      </c>
      <c r="Q43" s="159">
        <v>-0.86705200000000004</v>
      </c>
    </row>
    <row r="44" spans="1:17" ht="15" x14ac:dyDescent="0.25">
      <c r="A44" s="163" t="s">
        <v>396</v>
      </c>
      <c r="B44" s="163" t="s">
        <v>400</v>
      </c>
      <c r="C44" s="163">
        <v>4461</v>
      </c>
      <c r="D44" s="163">
        <v>8030</v>
      </c>
      <c r="E44" s="163">
        <v>2729</v>
      </c>
      <c r="F44" s="163">
        <v>174</v>
      </c>
      <c r="G44" s="163">
        <v>3023</v>
      </c>
      <c r="H44" s="163">
        <v>2.9424700000000001</v>
      </c>
      <c r="I44" s="163">
        <v>1.95</v>
      </c>
      <c r="J44" s="163">
        <v>1.03556</v>
      </c>
      <c r="K44" s="163">
        <v>146.43899999999999</v>
      </c>
      <c r="L44" s="163">
        <v>5.0927600000000003E-2</v>
      </c>
      <c r="M44" s="163">
        <v>0.56699999999999995</v>
      </c>
      <c r="N44" s="163">
        <v>0.77268000000000003</v>
      </c>
      <c r="O44" s="163">
        <v>0.55268598700000005</v>
      </c>
      <c r="P44" s="163">
        <v>2.2999999999999998</v>
      </c>
      <c r="Q44" s="164">
        <v>-0.75896699999999995</v>
      </c>
    </row>
    <row r="45" spans="1:17" ht="15" x14ac:dyDescent="0.25">
      <c r="A45" s="156" t="s">
        <v>396</v>
      </c>
      <c r="B45" s="156" t="s">
        <v>772</v>
      </c>
      <c r="C45" s="156">
        <v>11352</v>
      </c>
      <c r="D45" s="156">
        <v>323</v>
      </c>
      <c r="E45" s="156">
        <v>197</v>
      </c>
      <c r="F45" s="156">
        <v>0</v>
      </c>
      <c r="G45" s="156">
        <v>339</v>
      </c>
      <c r="H45" s="156">
        <v>1.6395900000000001</v>
      </c>
      <c r="I45" s="156">
        <v>1.95</v>
      </c>
      <c r="J45" s="156">
        <v>1.03556</v>
      </c>
      <c r="K45" s="156">
        <v>5.89039</v>
      </c>
      <c r="L45" s="156">
        <v>2.90324E-2</v>
      </c>
      <c r="M45" s="156">
        <v>0.56699999999999995</v>
      </c>
      <c r="N45" s="156">
        <v>0.77268000000000003</v>
      </c>
      <c r="O45" s="156">
        <v>0.55268598700000005</v>
      </c>
      <c r="P45" s="156">
        <v>2.2999999999999998</v>
      </c>
      <c r="Q45" s="159">
        <v>-0.95257899999999995</v>
      </c>
    </row>
    <row r="46" spans="1:17" ht="15" x14ac:dyDescent="0.25">
      <c r="A46" s="163" t="s">
        <v>396</v>
      </c>
      <c r="B46" s="163" t="s">
        <v>773</v>
      </c>
      <c r="C46" s="163">
        <v>11087</v>
      </c>
      <c r="D46" s="163">
        <v>165</v>
      </c>
      <c r="E46" s="163">
        <v>96</v>
      </c>
      <c r="F46" s="163">
        <v>0</v>
      </c>
      <c r="G46" s="163">
        <v>140</v>
      </c>
      <c r="H46" s="163">
        <v>1.71875</v>
      </c>
      <c r="I46" s="163">
        <v>1.95</v>
      </c>
      <c r="J46" s="163">
        <v>1.03556</v>
      </c>
      <c r="K46" s="163">
        <v>3.00902</v>
      </c>
      <c r="L46" s="163">
        <v>3.0391399999999999E-2</v>
      </c>
      <c r="M46" s="163">
        <v>0.56699999999999995</v>
      </c>
      <c r="N46" s="163">
        <v>0.77268000000000003</v>
      </c>
      <c r="O46" s="163">
        <v>0.55268598700000005</v>
      </c>
      <c r="P46" s="163">
        <v>2.2999999999999998</v>
      </c>
      <c r="Q46" s="164">
        <v>-1.05582</v>
      </c>
    </row>
    <row r="47" spans="1:17" ht="15" x14ac:dyDescent="0.25">
      <c r="A47" s="156" t="s">
        <v>396</v>
      </c>
      <c r="B47" s="156" t="s">
        <v>406</v>
      </c>
      <c r="C47" s="156">
        <v>13026</v>
      </c>
      <c r="D47" s="156">
        <v>3068</v>
      </c>
      <c r="E47" s="156">
        <v>1135</v>
      </c>
      <c r="F47" s="156">
        <v>0</v>
      </c>
      <c r="G47" s="156">
        <v>1435</v>
      </c>
      <c r="H47" s="156">
        <v>2.7030799999999999</v>
      </c>
      <c r="I47" s="156">
        <v>1.95</v>
      </c>
      <c r="J47" s="156">
        <v>1.0625100000000001</v>
      </c>
      <c r="K47" s="156">
        <v>98.3536</v>
      </c>
      <c r="L47" s="156">
        <v>7.9744800000000005E-2</v>
      </c>
      <c r="M47" s="156">
        <v>0.56699999999999995</v>
      </c>
      <c r="N47" s="156">
        <v>0.77268000000000003</v>
      </c>
      <c r="O47" s="156">
        <v>0.55268598700000005</v>
      </c>
      <c r="P47" s="156">
        <v>2.2999999999999998</v>
      </c>
      <c r="Q47" s="159">
        <v>-0.96522399999999997</v>
      </c>
    </row>
    <row r="48" spans="1:17" ht="15" x14ac:dyDescent="0.25">
      <c r="A48" s="163" t="s">
        <v>396</v>
      </c>
      <c r="B48" s="163" t="s">
        <v>402</v>
      </c>
      <c r="C48" s="163">
        <v>7022</v>
      </c>
      <c r="D48" s="163">
        <v>27</v>
      </c>
      <c r="E48" s="163">
        <v>12</v>
      </c>
      <c r="F48" s="163">
        <v>0</v>
      </c>
      <c r="G48" s="163">
        <v>12</v>
      </c>
      <c r="H48" s="163">
        <v>2.25</v>
      </c>
      <c r="I48" s="163">
        <v>1.95</v>
      </c>
      <c r="J48" s="163">
        <v>1.03556</v>
      </c>
      <c r="K48" s="163">
        <v>0.49238999999999999</v>
      </c>
      <c r="L48" s="163">
        <v>3.9414900000000003E-2</v>
      </c>
      <c r="M48" s="163">
        <v>0.56699999999999995</v>
      </c>
      <c r="N48" s="163">
        <v>0.77268000000000003</v>
      </c>
      <c r="O48" s="163">
        <v>0.55268598700000005</v>
      </c>
      <c r="P48" s="163">
        <v>2.2999999999999998</v>
      </c>
      <c r="Q48" s="164">
        <v>-0.55482500000000001</v>
      </c>
    </row>
    <row r="49" spans="1:17" ht="15" x14ac:dyDescent="0.25">
      <c r="A49" s="156" t="s">
        <v>396</v>
      </c>
      <c r="B49" s="156" t="s">
        <v>774</v>
      </c>
      <c r="C49" s="156">
        <v>2402</v>
      </c>
      <c r="D49" s="156">
        <v>114</v>
      </c>
      <c r="E49" s="156">
        <v>66</v>
      </c>
      <c r="F49" s="156">
        <v>0</v>
      </c>
      <c r="G49" s="156">
        <v>136</v>
      </c>
      <c r="H49" s="156">
        <v>1.7272700000000001</v>
      </c>
      <c r="I49" s="156">
        <v>1.95</v>
      </c>
      <c r="J49" s="156">
        <v>1.09538</v>
      </c>
      <c r="K49" s="156">
        <v>5.5762200000000002</v>
      </c>
      <c r="L49" s="156">
        <v>7.7906000000000003E-2</v>
      </c>
      <c r="M49" s="156">
        <v>0.56699999999999995</v>
      </c>
      <c r="N49" s="156">
        <v>0.77268000000000003</v>
      </c>
      <c r="O49" s="156">
        <v>0.55268598700000005</v>
      </c>
      <c r="P49" s="156">
        <v>2.2999999999999998</v>
      </c>
      <c r="Q49" s="159">
        <v>-1.0386500000000001</v>
      </c>
    </row>
    <row r="50" spans="1:17" ht="15" x14ac:dyDescent="0.25">
      <c r="A50" s="163" t="s">
        <v>396</v>
      </c>
      <c r="B50" s="163" t="s">
        <v>775</v>
      </c>
      <c r="C50" s="163">
        <v>11180</v>
      </c>
      <c r="D50" s="163">
        <v>121</v>
      </c>
      <c r="E50" s="163">
        <v>51</v>
      </c>
      <c r="F50" s="163">
        <v>0</v>
      </c>
      <c r="G50" s="163">
        <v>55</v>
      </c>
      <c r="H50" s="163">
        <v>2.3725499999999999</v>
      </c>
      <c r="I50" s="163">
        <v>1.95</v>
      </c>
      <c r="J50" s="163">
        <v>1.09538</v>
      </c>
      <c r="K50" s="163">
        <v>5.9186199999999998</v>
      </c>
      <c r="L50" s="163">
        <v>0.10398399999999999</v>
      </c>
      <c r="M50" s="163">
        <v>0.56699999999999995</v>
      </c>
      <c r="N50" s="163">
        <v>0.77268000000000003</v>
      </c>
      <c r="O50" s="163">
        <v>0.55268598700000005</v>
      </c>
      <c r="P50" s="163">
        <v>2.2999999999999998</v>
      </c>
      <c r="Q50" s="164">
        <v>-1.0386500000000001</v>
      </c>
    </row>
    <row r="51" spans="1:17" ht="15" x14ac:dyDescent="0.25">
      <c r="A51" s="156" t="s">
        <v>396</v>
      </c>
      <c r="B51" s="156" t="s">
        <v>404</v>
      </c>
      <c r="C51" s="156">
        <v>7658</v>
      </c>
      <c r="D51" s="156">
        <v>1898</v>
      </c>
      <c r="E51" s="156">
        <v>605</v>
      </c>
      <c r="F51" s="156">
        <v>6</v>
      </c>
      <c r="G51" s="156">
        <v>756</v>
      </c>
      <c r="H51" s="156">
        <v>3.1371899999999999</v>
      </c>
      <c r="I51" s="156">
        <v>1.95</v>
      </c>
      <c r="J51" s="156">
        <v>1.18065</v>
      </c>
      <c r="K51" s="156">
        <v>175.828</v>
      </c>
      <c r="L51" s="156">
        <v>0.22518199999999999</v>
      </c>
      <c r="M51" s="156">
        <v>0.56699999999999995</v>
      </c>
      <c r="N51" s="156">
        <v>0.77268000000000003</v>
      </c>
      <c r="O51" s="156">
        <v>0.55268598700000005</v>
      </c>
      <c r="P51" s="156">
        <v>2.2999999999999998</v>
      </c>
      <c r="Q51" s="159">
        <v>-0.91105999999999998</v>
      </c>
    </row>
    <row r="52" spans="1:17" ht="15" x14ac:dyDescent="0.25">
      <c r="A52" s="163" t="s">
        <v>407</v>
      </c>
      <c r="B52" s="163" t="s">
        <v>776</v>
      </c>
      <c r="C52" s="163">
        <v>8443</v>
      </c>
      <c r="D52" s="163">
        <v>764</v>
      </c>
      <c r="E52" s="163">
        <v>352</v>
      </c>
      <c r="F52" s="163">
        <v>0</v>
      </c>
      <c r="G52" s="163">
        <v>436</v>
      </c>
      <c r="H52" s="163">
        <v>2.1704500000000002</v>
      </c>
      <c r="I52" s="163">
        <v>1.95</v>
      </c>
      <c r="J52" s="163">
        <v>1.11094</v>
      </c>
      <c r="K52" s="163">
        <v>43.465899999999998</v>
      </c>
      <c r="L52" s="163">
        <v>0.10991099999999999</v>
      </c>
      <c r="M52" s="163">
        <v>0.56699999999999995</v>
      </c>
      <c r="N52" s="163">
        <v>0.77268000000000003</v>
      </c>
      <c r="O52" s="163">
        <v>0.66836773400000005</v>
      </c>
      <c r="P52" s="163">
        <v>2.2999999999999998</v>
      </c>
      <c r="Q52" s="164">
        <v>-0.39550600000000002</v>
      </c>
    </row>
    <row r="53" spans="1:17" ht="15" x14ac:dyDescent="0.25">
      <c r="A53" s="156" t="s">
        <v>407</v>
      </c>
      <c r="B53" s="156" t="s">
        <v>777</v>
      </c>
      <c r="C53" s="156">
        <v>1891</v>
      </c>
      <c r="D53" s="156">
        <v>758</v>
      </c>
      <c r="E53" s="156">
        <v>352</v>
      </c>
      <c r="F53" s="156">
        <v>0</v>
      </c>
      <c r="G53" s="156">
        <v>432</v>
      </c>
      <c r="H53" s="156">
        <v>2.15341</v>
      </c>
      <c r="I53" s="156">
        <v>1.95</v>
      </c>
      <c r="J53" s="156">
        <v>1.10955</v>
      </c>
      <c r="K53" s="156">
        <v>42.585500000000003</v>
      </c>
      <c r="L53" s="156">
        <v>0.10792499999999999</v>
      </c>
      <c r="M53" s="156">
        <v>0.56699999999999995</v>
      </c>
      <c r="N53" s="156">
        <v>0.77268000000000003</v>
      </c>
      <c r="O53" s="156">
        <v>0.66836773400000005</v>
      </c>
      <c r="P53" s="156">
        <v>2.2999999999999998</v>
      </c>
      <c r="Q53" s="159">
        <v>-0.28861199999999998</v>
      </c>
    </row>
    <row r="54" spans="1:17" ht="15" x14ac:dyDescent="0.25">
      <c r="A54" s="163" t="s">
        <v>407</v>
      </c>
      <c r="B54" s="163" t="s">
        <v>413</v>
      </c>
      <c r="C54" s="163">
        <v>7627</v>
      </c>
      <c r="D54" s="163">
        <v>20405</v>
      </c>
      <c r="E54" s="163">
        <v>9107</v>
      </c>
      <c r="F54" s="163">
        <v>372</v>
      </c>
      <c r="G54" s="163">
        <v>10455</v>
      </c>
      <c r="H54" s="163">
        <v>2.24058</v>
      </c>
      <c r="I54" s="163">
        <v>1.95</v>
      </c>
      <c r="J54" s="163">
        <v>1.1001099999999999</v>
      </c>
      <c r="K54" s="163">
        <v>1047.58</v>
      </c>
      <c r="L54" s="163">
        <v>0.103163</v>
      </c>
      <c r="M54" s="163">
        <v>0.56699999999999995</v>
      </c>
      <c r="N54" s="163">
        <v>0.77268000000000003</v>
      </c>
      <c r="O54" s="163">
        <v>0.66836773400000005</v>
      </c>
      <c r="P54" s="163">
        <v>2.2999999999999998</v>
      </c>
      <c r="Q54" s="164">
        <v>0.43797199999999997</v>
      </c>
    </row>
    <row r="55" spans="1:17" ht="15" x14ac:dyDescent="0.25">
      <c r="A55" s="156" t="s">
        <v>407</v>
      </c>
      <c r="B55" s="156" t="s">
        <v>411</v>
      </c>
      <c r="C55" s="156">
        <v>5789</v>
      </c>
      <c r="D55" s="156">
        <v>150994</v>
      </c>
      <c r="E55" s="156">
        <v>63180</v>
      </c>
      <c r="F55" s="156">
        <v>1667</v>
      </c>
      <c r="G55" s="156">
        <v>70034</v>
      </c>
      <c r="H55" s="156">
        <v>2.3898999999999999</v>
      </c>
      <c r="I55" s="156">
        <v>1.95</v>
      </c>
      <c r="J55" s="156">
        <v>1.08327</v>
      </c>
      <c r="K55" s="156">
        <v>6448.1</v>
      </c>
      <c r="L55" s="156">
        <v>9.2607700000000001E-2</v>
      </c>
      <c r="M55" s="156">
        <v>0.56699999999999995</v>
      </c>
      <c r="N55" s="156">
        <v>0.77268000000000003</v>
      </c>
      <c r="O55" s="156">
        <v>0.66836773400000005</v>
      </c>
      <c r="P55" s="156">
        <v>2.2999999999999998</v>
      </c>
      <c r="Q55" s="159">
        <v>-0.24301800000000001</v>
      </c>
    </row>
    <row r="56" spans="1:17" ht="15" x14ac:dyDescent="0.25">
      <c r="A56" s="163" t="s">
        <v>407</v>
      </c>
      <c r="B56" s="163" t="s">
        <v>778</v>
      </c>
      <c r="C56" s="163">
        <v>2119</v>
      </c>
      <c r="D56" s="163">
        <v>503</v>
      </c>
      <c r="E56" s="163">
        <v>256</v>
      </c>
      <c r="F56" s="163">
        <v>0</v>
      </c>
      <c r="G56" s="163">
        <v>301</v>
      </c>
      <c r="H56" s="163">
        <v>1.9648399999999999</v>
      </c>
      <c r="I56" s="163">
        <v>1.95</v>
      </c>
      <c r="J56" s="163">
        <v>1.1001099999999999</v>
      </c>
      <c r="K56" s="163">
        <v>25.823699999999999</v>
      </c>
      <c r="L56" s="163">
        <v>9.1630600000000006E-2</v>
      </c>
      <c r="M56" s="163">
        <v>0.56699999999999995</v>
      </c>
      <c r="N56" s="163">
        <v>0.77268000000000003</v>
      </c>
      <c r="O56" s="163">
        <v>0.66836773400000005</v>
      </c>
      <c r="P56" s="163">
        <v>2.2999999999999998</v>
      </c>
      <c r="Q56" s="164">
        <v>-0.30007800000000001</v>
      </c>
    </row>
    <row r="57" spans="1:17" ht="15" x14ac:dyDescent="0.25">
      <c r="A57" s="156" t="s">
        <v>407</v>
      </c>
      <c r="B57" s="156" t="s">
        <v>409</v>
      </c>
      <c r="C57" s="156">
        <v>3720</v>
      </c>
      <c r="D57" s="156">
        <v>270</v>
      </c>
      <c r="E57" s="156">
        <v>138</v>
      </c>
      <c r="F57" s="156">
        <v>0</v>
      </c>
      <c r="G57" s="156">
        <v>201</v>
      </c>
      <c r="H57" s="156">
        <v>1.95652</v>
      </c>
      <c r="I57" s="156">
        <v>1.95</v>
      </c>
      <c r="J57" s="156">
        <v>1.11094</v>
      </c>
      <c r="K57" s="156">
        <v>15.361000000000001</v>
      </c>
      <c r="L57" s="156">
        <v>0.100162</v>
      </c>
      <c r="M57" s="156">
        <v>0.56699999999999995</v>
      </c>
      <c r="N57" s="156">
        <v>0.77268000000000003</v>
      </c>
      <c r="O57" s="156">
        <v>0.66836773400000005</v>
      </c>
      <c r="P57" s="156">
        <v>2.2999999999999998</v>
      </c>
      <c r="Q57" s="159">
        <v>0.324494</v>
      </c>
    </row>
    <row r="58" spans="1:17" ht="15" x14ac:dyDescent="0.25">
      <c r="A58" s="163" t="s">
        <v>414</v>
      </c>
      <c r="B58" s="163" t="s">
        <v>429</v>
      </c>
      <c r="C58" s="163">
        <v>7139</v>
      </c>
      <c r="D58" s="163">
        <v>751</v>
      </c>
      <c r="E58" s="163">
        <v>434</v>
      </c>
      <c r="F58" s="163">
        <v>0</v>
      </c>
      <c r="G58" s="163">
        <v>868</v>
      </c>
      <c r="H58" s="163">
        <v>1.73041</v>
      </c>
      <c r="I58" s="163">
        <v>1.95</v>
      </c>
      <c r="J58" s="163">
        <v>1.1290899999999999</v>
      </c>
      <c r="K58" s="163">
        <v>49.7151</v>
      </c>
      <c r="L58" s="163">
        <v>0.10277799999999999</v>
      </c>
      <c r="M58" s="163">
        <v>0.56699999999999995</v>
      </c>
      <c r="N58" s="163">
        <v>0.77268000000000003</v>
      </c>
      <c r="O58" s="163">
        <v>0.55268598700000005</v>
      </c>
      <c r="P58" s="163">
        <v>2.2999999999999998</v>
      </c>
      <c r="Q58" s="164">
        <v>9.0639399999999995E-2</v>
      </c>
    </row>
    <row r="59" spans="1:17" ht="15" x14ac:dyDescent="0.25">
      <c r="A59" s="156" t="s">
        <v>414</v>
      </c>
      <c r="B59" s="156" t="s">
        <v>426</v>
      </c>
      <c r="C59" s="156">
        <v>6029</v>
      </c>
      <c r="D59" s="156">
        <v>17535</v>
      </c>
      <c r="E59" s="156">
        <v>7445</v>
      </c>
      <c r="F59" s="156">
        <v>221</v>
      </c>
      <c r="G59" s="156">
        <v>9305</v>
      </c>
      <c r="H59" s="156">
        <v>2.35527</v>
      </c>
      <c r="I59" s="156">
        <v>1.95</v>
      </c>
      <c r="J59" s="156">
        <v>1.08213</v>
      </c>
      <c r="K59" s="156">
        <v>738.505</v>
      </c>
      <c r="L59" s="156">
        <v>9.0243100000000007E-2</v>
      </c>
      <c r="M59" s="156">
        <v>0.56699999999999995</v>
      </c>
      <c r="N59" s="156">
        <v>0.77268000000000003</v>
      </c>
      <c r="O59" s="156">
        <v>0.55268598700000005</v>
      </c>
      <c r="P59" s="156">
        <v>2.2999999999999998</v>
      </c>
      <c r="Q59" s="159">
        <v>-0.35646899999999998</v>
      </c>
    </row>
    <row r="60" spans="1:17" ht="15" x14ac:dyDescent="0.25">
      <c r="A60" s="163" t="s">
        <v>414</v>
      </c>
      <c r="B60" s="163" t="s">
        <v>418</v>
      </c>
      <c r="C60" s="163">
        <v>4492</v>
      </c>
      <c r="D60" s="163">
        <v>39779</v>
      </c>
      <c r="E60" s="163">
        <v>18260</v>
      </c>
      <c r="F60" s="163">
        <v>712</v>
      </c>
      <c r="G60" s="163">
        <v>23025</v>
      </c>
      <c r="H60" s="163">
        <v>2.17848</v>
      </c>
      <c r="I60" s="163">
        <v>1.95</v>
      </c>
      <c r="J60" s="163">
        <v>1.15134</v>
      </c>
      <c r="K60" s="163">
        <v>3087.28</v>
      </c>
      <c r="L60" s="163">
        <v>0.144622</v>
      </c>
      <c r="M60" s="163">
        <v>0.56699999999999995</v>
      </c>
      <c r="N60" s="163">
        <v>0.77268000000000003</v>
      </c>
      <c r="O60" s="163">
        <v>0.55268598700000005</v>
      </c>
      <c r="P60" s="163">
        <v>2.2999999999999998</v>
      </c>
      <c r="Q60" s="164">
        <v>-0.20488999999999999</v>
      </c>
    </row>
    <row r="61" spans="1:17" ht="15" x14ac:dyDescent="0.25">
      <c r="A61" s="156" t="s">
        <v>414</v>
      </c>
      <c r="B61" s="156" t="s">
        <v>431</v>
      </c>
      <c r="C61" s="156">
        <v>7704</v>
      </c>
      <c r="D61" s="156">
        <v>791</v>
      </c>
      <c r="E61" s="156">
        <v>363</v>
      </c>
      <c r="F61" s="156">
        <v>0</v>
      </c>
      <c r="G61" s="156">
        <v>421</v>
      </c>
      <c r="H61" s="156">
        <v>2.1790600000000002</v>
      </c>
      <c r="I61" s="156">
        <v>1.95</v>
      </c>
      <c r="J61" s="156">
        <v>1.1290899999999999</v>
      </c>
      <c r="K61" s="156">
        <v>52.363100000000003</v>
      </c>
      <c r="L61" s="156">
        <v>0.12606600000000001</v>
      </c>
      <c r="M61" s="156">
        <v>0.56699999999999995</v>
      </c>
      <c r="N61" s="156">
        <v>0.77268000000000003</v>
      </c>
      <c r="O61" s="156">
        <v>0.55268598700000005</v>
      </c>
      <c r="P61" s="156">
        <v>2.2999999999999998</v>
      </c>
      <c r="Q61" s="159">
        <v>-0.67469000000000001</v>
      </c>
    </row>
    <row r="62" spans="1:17" ht="15" x14ac:dyDescent="0.25">
      <c r="A62" s="163" t="s">
        <v>414</v>
      </c>
      <c r="B62" s="163" t="s">
        <v>433</v>
      </c>
      <c r="C62" s="163">
        <v>9140</v>
      </c>
      <c r="D62" s="163">
        <v>21</v>
      </c>
      <c r="E62" s="163">
        <v>5</v>
      </c>
      <c r="F62" s="163">
        <v>0</v>
      </c>
      <c r="G62" s="163">
        <v>6</v>
      </c>
      <c r="H62" s="163">
        <v>4.2</v>
      </c>
      <c r="I62" s="163">
        <v>1.95</v>
      </c>
      <c r="J62" s="163">
        <v>1.1290899999999999</v>
      </c>
      <c r="K62" s="163">
        <v>1.3901699999999999</v>
      </c>
      <c r="L62" s="163">
        <v>0.21754799999999999</v>
      </c>
      <c r="M62" s="163">
        <v>0.56699999999999995</v>
      </c>
      <c r="N62" s="163">
        <v>0.77268000000000003</v>
      </c>
      <c r="O62" s="163">
        <v>0.55268598700000005</v>
      </c>
      <c r="P62" s="163">
        <v>2.2999999999999998</v>
      </c>
      <c r="Q62" s="164">
        <v>9.0639399999999995E-2</v>
      </c>
    </row>
    <row r="63" spans="1:17" ht="15" x14ac:dyDescent="0.25">
      <c r="A63" s="156" t="s">
        <v>414</v>
      </c>
      <c r="B63" s="156" t="s">
        <v>416</v>
      </c>
      <c r="C63" s="156">
        <v>4167</v>
      </c>
      <c r="D63" s="156">
        <v>1834</v>
      </c>
      <c r="E63" s="156">
        <v>840</v>
      </c>
      <c r="F63" s="156">
        <v>0</v>
      </c>
      <c r="G63" s="156">
        <v>1122</v>
      </c>
      <c r="H63" s="156">
        <v>2.1833300000000002</v>
      </c>
      <c r="I63" s="156">
        <v>1.95</v>
      </c>
      <c r="J63" s="156">
        <v>1.1345000000000001</v>
      </c>
      <c r="K63" s="156">
        <v>126.498</v>
      </c>
      <c r="L63" s="156">
        <v>0.130883</v>
      </c>
      <c r="M63" s="156">
        <v>0.56699999999999995</v>
      </c>
      <c r="N63" s="156">
        <v>0.77268000000000003</v>
      </c>
      <c r="O63" s="156">
        <v>0.55268598700000005</v>
      </c>
      <c r="P63" s="156">
        <v>2.2999999999999998</v>
      </c>
      <c r="Q63" s="159">
        <v>-0.10843700000000001</v>
      </c>
    </row>
    <row r="64" spans="1:17" ht="15" x14ac:dyDescent="0.25">
      <c r="A64" s="163" t="s">
        <v>414</v>
      </c>
      <c r="B64" s="163" t="s">
        <v>416</v>
      </c>
      <c r="C64" s="163">
        <v>6456</v>
      </c>
      <c r="D64" s="163">
        <v>530</v>
      </c>
      <c r="E64" s="163">
        <v>298</v>
      </c>
      <c r="F64" s="163">
        <v>0</v>
      </c>
      <c r="G64" s="163">
        <v>395</v>
      </c>
      <c r="H64" s="163">
        <v>1.7785200000000001</v>
      </c>
      <c r="I64" s="163">
        <v>1.95</v>
      </c>
      <c r="J64" s="163">
        <v>1.15205</v>
      </c>
      <c r="K64" s="163">
        <v>41.325400000000002</v>
      </c>
      <c r="L64" s="163">
        <v>0.12178700000000001</v>
      </c>
      <c r="M64" s="163">
        <v>0.56699999999999995</v>
      </c>
      <c r="N64" s="163">
        <v>0.77268000000000003</v>
      </c>
      <c r="O64" s="163">
        <v>0.55268598700000005</v>
      </c>
      <c r="P64" s="163">
        <v>2.2999999999999998</v>
      </c>
      <c r="Q64" s="164">
        <v>-0.369537</v>
      </c>
    </row>
    <row r="65" spans="1:17" ht="15" x14ac:dyDescent="0.25">
      <c r="A65" s="156" t="s">
        <v>414</v>
      </c>
      <c r="B65" s="156" t="s">
        <v>779</v>
      </c>
      <c r="C65" s="156">
        <v>10930</v>
      </c>
      <c r="D65" s="156">
        <v>977</v>
      </c>
      <c r="E65" s="156">
        <v>569</v>
      </c>
      <c r="F65" s="156">
        <v>0</v>
      </c>
      <c r="G65" s="156">
        <v>1016</v>
      </c>
      <c r="H65" s="156">
        <v>1.71705</v>
      </c>
      <c r="I65" s="156">
        <v>1.95</v>
      </c>
      <c r="J65" s="156">
        <v>1.15205</v>
      </c>
      <c r="K65" s="156">
        <v>76.179100000000005</v>
      </c>
      <c r="L65" s="156">
        <v>0.118074</v>
      </c>
      <c r="M65" s="156">
        <v>0.56699999999999995</v>
      </c>
      <c r="N65" s="156">
        <v>0.77268000000000003</v>
      </c>
      <c r="O65" s="156">
        <v>0.55268598700000005</v>
      </c>
      <c r="P65" s="156">
        <v>2.2999999999999998</v>
      </c>
      <c r="Q65" s="159">
        <v>-0.407744</v>
      </c>
    </row>
    <row r="66" spans="1:17" ht="15" x14ac:dyDescent="0.25">
      <c r="A66" s="163" t="s">
        <v>414</v>
      </c>
      <c r="B66" s="163" t="s">
        <v>780</v>
      </c>
      <c r="C66" s="163">
        <v>6804</v>
      </c>
      <c r="D66" s="163">
        <v>505</v>
      </c>
      <c r="E66" s="163">
        <v>345</v>
      </c>
      <c r="F66" s="163">
        <v>0</v>
      </c>
      <c r="G66" s="163">
        <v>503</v>
      </c>
      <c r="H66" s="163">
        <v>1.46377</v>
      </c>
      <c r="I66" s="163">
        <v>1.95</v>
      </c>
      <c r="J66" s="163">
        <v>1.08213</v>
      </c>
      <c r="K66" s="163">
        <v>21.268599999999999</v>
      </c>
      <c r="L66" s="163">
        <v>5.8068300000000003E-2</v>
      </c>
      <c r="M66" s="163">
        <v>0.56699999999999995</v>
      </c>
      <c r="N66" s="163">
        <v>0.77268000000000003</v>
      </c>
      <c r="O66" s="163">
        <v>0.55268598700000005</v>
      </c>
      <c r="P66" s="163">
        <v>2.2999999999999998</v>
      </c>
      <c r="Q66" s="164">
        <v>-0.33514500000000003</v>
      </c>
    </row>
    <row r="67" spans="1:17" s="88" customFormat="1" ht="15" x14ac:dyDescent="0.25">
      <c r="A67" s="156" t="s">
        <v>414</v>
      </c>
      <c r="B67" s="156" t="s">
        <v>781</v>
      </c>
      <c r="C67" s="156">
        <v>13272</v>
      </c>
      <c r="D67" s="156">
        <v>126</v>
      </c>
      <c r="E67" s="156">
        <v>85</v>
      </c>
      <c r="F67" s="156">
        <v>0</v>
      </c>
      <c r="G67" s="156">
        <v>111</v>
      </c>
      <c r="H67" s="156">
        <v>1.4823500000000001</v>
      </c>
      <c r="I67" s="156">
        <v>1.95</v>
      </c>
      <c r="J67" s="156">
        <v>1.15205</v>
      </c>
      <c r="K67" s="156">
        <v>9.8245299999999993</v>
      </c>
      <c r="L67" s="156">
        <v>0.103607</v>
      </c>
      <c r="M67" s="156">
        <v>0.56699999999999995</v>
      </c>
      <c r="N67" s="156">
        <v>0.77268000000000003</v>
      </c>
      <c r="O67" s="156">
        <v>0.55268598700000005</v>
      </c>
      <c r="P67" s="156">
        <v>2.2999999999999998</v>
      </c>
      <c r="Q67" s="159">
        <v>-0.369537</v>
      </c>
    </row>
    <row r="68" spans="1:17" ht="15" x14ac:dyDescent="0.25">
      <c r="A68" s="163" t="s">
        <v>414</v>
      </c>
      <c r="B68" s="163" t="s">
        <v>422</v>
      </c>
      <c r="C68" s="163">
        <v>4980</v>
      </c>
      <c r="D68" s="163">
        <v>4598</v>
      </c>
      <c r="E68" s="163">
        <v>1984</v>
      </c>
      <c r="F68" s="163">
        <v>17</v>
      </c>
      <c r="G68" s="163">
        <v>2453</v>
      </c>
      <c r="H68" s="163">
        <v>2.3175400000000002</v>
      </c>
      <c r="I68" s="163">
        <v>1.95</v>
      </c>
      <c r="J68" s="163">
        <v>1.15205</v>
      </c>
      <c r="K68" s="163">
        <v>358.517</v>
      </c>
      <c r="L68" s="163">
        <v>0.15304799999999999</v>
      </c>
      <c r="M68" s="163">
        <v>0.56699999999999995</v>
      </c>
      <c r="N68" s="163">
        <v>0.77268000000000003</v>
      </c>
      <c r="O68" s="163">
        <v>0.55268598700000005</v>
      </c>
      <c r="P68" s="163">
        <v>2.2999999999999998</v>
      </c>
      <c r="Q68" s="164">
        <v>-0.404308</v>
      </c>
    </row>
    <row r="69" spans="1:17" ht="15" x14ac:dyDescent="0.25">
      <c r="A69" s="156" t="s">
        <v>414</v>
      </c>
      <c r="B69" s="156" t="s">
        <v>435</v>
      </c>
      <c r="C69" s="156">
        <v>9490</v>
      </c>
      <c r="D69" s="156">
        <v>1058</v>
      </c>
      <c r="E69" s="156">
        <v>579</v>
      </c>
      <c r="F69" s="156">
        <v>0</v>
      </c>
      <c r="G69" s="156">
        <v>1054</v>
      </c>
      <c r="H69" s="156">
        <v>1.8272900000000001</v>
      </c>
      <c r="I69" s="156">
        <v>1.95</v>
      </c>
      <c r="J69" s="156">
        <v>1.15205</v>
      </c>
      <c r="K69" s="156">
        <v>82.494900000000001</v>
      </c>
      <c r="L69" s="156">
        <v>0.12471</v>
      </c>
      <c r="M69" s="156">
        <v>0.56699999999999995</v>
      </c>
      <c r="N69" s="156">
        <v>0.77268000000000003</v>
      </c>
      <c r="O69" s="156">
        <v>0.55268598700000005</v>
      </c>
      <c r="P69" s="156">
        <v>2.2999999999999998</v>
      </c>
      <c r="Q69" s="159">
        <v>-0.407744</v>
      </c>
    </row>
    <row r="70" spans="1:17" ht="15" x14ac:dyDescent="0.25">
      <c r="A70" s="163" t="s">
        <v>414</v>
      </c>
      <c r="B70" s="163" t="s">
        <v>782</v>
      </c>
      <c r="C70" s="163">
        <v>20470</v>
      </c>
      <c r="D70" s="163">
        <v>101</v>
      </c>
      <c r="E70" s="163">
        <v>60</v>
      </c>
      <c r="F70" s="163">
        <v>0</v>
      </c>
      <c r="G70" s="163">
        <v>81</v>
      </c>
      <c r="H70" s="163">
        <v>1.68333</v>
      </c>
      <c r="I70" s="163">
        <v>1.95</v>
      </c>
      <c r="J70" s="163">
        <v>1.08213</v>
      </c>
      <c r="K70" s="163">
        <v>4.2537200000000004</v>
      </c>
      <c r="L70" s="163">
        <v>6.6201899999999994E-2</v>
      </c>
      <c r="M70" s="163">
        <v>0.56699999999999995</v>
      </c>
      <c r="N70" s="163">
        <v>0.77268000000000003</v>
      </c>
      <c r="O70" s="163">
        <v>0.55268598700000005</v>
      </c>
      <c r="P70" s="163">
        <v>2.2999999999999998</v>
      </c>
      <c r="Q70" s="164">
        <v>-0.26002599999999998</v>
      </c>
    </row>
    <row r="71" spans="1:17" ht="15" x14ac:dyDescent="0.25">
      <c r="A71" s="156" t="s">
        <v>414</v>
      </c>
      <c r="B71" s="156" t="s">
        <v>783</v>
      </c>
      <c r="C71" s="156">
        <v>11601</v>
      </c>
      <c r="D71" s="156">
        <v>227</v>
      </c>
      <c r="E71" s="156">
        <v>125</v>
      </c>
      <c r="F71" s="156">
        <v>0</v>
      </c>
      <c r="G71" s="156">
        <v>333</v>
      </c>
      <c r="H71" s="156">
        <v>1.8160000000000001</v>
      </c>
      <c r="I71" s="156">
        <v>1.95</v>
      </c>
      <c r="J71" s="156">
        <v>1.15205</v>
      </c>
      <c r="K71" s="156">
        <v>17.6998</v>
      </c>
      <c r="L71" s="156">
        <v>0.12403500000000001</v>
      </c>
      <c r="M71" s="156">
        <v>0.56699999999999995</v>
      </c>
      <c r="N71" s="156">
        <v>0.77268000000000003</v>
      </c>
      <c r="O71" s="156">
        <v>0.55268598700000005</v>
      </c>
      <c r="P71" s="156">
        <v>2.2999999999999998</v>
      </c>
      <c r="Q71" s="159">
        <v>5.5804000000000001E-3</v>
      </c>
    </row>
    <row r="72" spans="1:17" ht="15" x14ac:dyDescent="0.25">
      <c r="A72" s="163" t="s">
        <v>414</v>
      </c>
      <c r="B72" s="163" t="s">
        <v>784</v>
      </c>
      <c r="C72" s="163">
        <v>4670</v>
      </c>
      <c r="D72" s="163">
        <v>735</v>
      </c>
      <c r="E72" s="163">
        <v>360</v>
      </c>
      <c r="F72" s="163">
        <v>0</v>
      </c>
      <c r="G72" s="163">
        <v>462</v>
      </c>
      <c r="H72" s="163">
        <v>2.0416699999999999</v>
      </c>
      <c r="I72" s="163">
        <v>1.95</v>
      </c>
      <c r="J72" s="163">
        <v>1.11659</v>
      </c>
      <c r="K72" s="163">
        <v>43.946899999999999</v>
      </c>
      <c r="L72" s="163">
        <v>0.108794</v>
      </c>
      <c r="M72" s="163">
        <v>0.56699999999999995</v>
      </c>
      <c r="N72" s="163">
        <v>0.77268000000000003</v>
      </c>
      <c r="O72" s="163">
        <v>0.55268598700000005</v>
      </c>
      <c r="P72" s="163">
        <v>2.2999999999999998</v>
      </c>
      <c r="Q72" s="164">
        <v>-0.65234099999999995</v>
      </c>
    </row>
    <row r="73" spans="1:17" ht="15" x14ac:dyDescent="0.25">
      <c r="A73" s="156" t="s">
        <v>414</v>
      </c>
      <c r="B73" s="156" t="s">
        <v>439</v>
      </c>
      <c r="C73" s="156">
        <v>13367</v>
      </c>
      <c r="D73" s="156">
        <v>328</v>
      </c>
      <c r="E73" s="156">
        <v>129</v>
      </c>
      <c r="F73" s="156">
        <v>0</v>
      </c>
      <c r="G73" s="156">
        <v>155</v>
      </c>
      <c r="H73" s="156">
        <v>2.54264</v>
      </c>
      <c r="I73" s="156">
        <v>1.95</v>
      </c>
      <c r="J73" s="156">
        <v>1.1655500000000001</v>
      </c>
      <c r="K73" s="156">
        <v>27.847200000000001</v>
      </c>
      <c r="L73" s="156">
        <v>0.17754300000000001</v>
      </c>
      <c r="M73" s="156">
        <v>0.56699999999999995</v>
      </c>
      <c r="N73" s="156">
        <v>0.77268000000000003</v>
      </c>
      <c r="O73" s="156">
        <v>0.55268598700000005</v>
      </c>
      <c r="P73" s="156">
        <v>2.2999999999999998</v>
      </c>
      <c r="Q73" s="159">
        <v>-0.18342900000000001</v>
      </c>
    </row>
    <row r="74" spans="1:17" ht="15" x14ac:dyDescent="0.25">
      <c r="A74" s="163" t="s">
        <v>414</v>
      </c>
      <c r="B74" s="163" t="s">
        <v>437</v>
      </c>
      <c r="C74" s="163">
        <v>13099</v>
      </c>
      <c r="D74" s="163">
        <v>6687</v>
      </c>
      <c r="E74" s="163">
        <v>3085</v>
      </c>
      <c r="F74" s="163">
        <v>145</v>
      </c>
      <c r="G74" s="163">
        <v>3918</v>
      </c>
      <c r="H74" s="163">
        <v>2.1675900000000001</v>
      </c>
      <c r="I74" s="163">
        <v>1.95</v>
      </c>
      <c r="J74" s="163">
        <v>1.2259800000000001</v>
      </c>
      <c r="K74" s="163">
        <v>774.94899999999996</v>
      </c>
      <c r="L74" s="163">
        <v>0.200767</v>
      </c>
      <c r="M74" s="163">
        <v>0.56699999999999995</v>
      </c>
      <c r="N74" s="163">
        <v>0.77268000000000003</v>
      </c>
      <c r="O74" s="163">
        <v>0.55268598700000005</v>
      </c>
      <c r="P74" s="163">
        <v>2.2999999999999998</v>
      </c>
      <c r="Q74" s="164">
        <v>-0.131332</v>
      </c>
    </row>
    <row r="75" spans="1:17" ht="15" x14ac:dyDescent="0.25">
      <c r="A75" s="156" t="s">
        <v>414</v>
      </c>
      <c r="B75" s="156" t="s">
        <v>424</v>
      </c>
      <c r="C75" s="156">
        <v>5270</v>
      </c>
      <c r="D75" s="156">
        <v>12727</v>
      </c>
      <c r="E75" s="156">
        <v>5952</v>
      </c>
      <c r="F75" s="156">
        <v>185</v>
      </c>
      <c r="G75" s="156">
        <v>8447</v>
      </c>
      <c r="H75" s="156">
        <v>2.1382699999999999</v>
      </c>
      <c r="I75" s="156">
        <v>1.95</v>
      </c>
      <c r="J75" s="156">
        <v>1.15205</v>
      </c>
      <c r="K75" s="156">
        <v>992.35599999999999</v>
      </c>
      <c r="L75" s="156">
        <v>0.142901</v>
      </c>
      <c r="M75" s="156">
        <v>0.56699999999999995</v>
      </c>
      <c r="N75" s="156">
        <v>0.77268000000000003</v>
      </c>
      <c r="O75" s="156">
        <v>0.55268598700000005</v>
      </c>
      <c r="P75" s="156">
        <v>2.2999999999999998</v>
      </c>
      <c r="Q75" s="159">
        <v>-0.40038299999999999</v>
      </c>
    </row>
    <row r="76" spans="1:17" ht="15" x14ac:dyDescent="0.25">
      <c r="A76" s="163" t="s">
        <v>414</v>
      </c>
      <c r="B76" s="163" t="s">
        <v>785</v>
      </c>
      <c r="C76" s="163">
        <v>12846</v>
      </c>
      <c r="D76" s="163">
        <v>798</v>
      </c>
      <c r="E76" s="163">
        <v>453</v>
      </c>
      <c r="F76" s="163">
        <v>0</v>
      </c>
      <c r="G76" s="163">
        <v>611</v>
      </c>
      <c r="H76" s="163">
        <v>1.76159</v>
      </c>
      <c r="I76" s="163">
        <v>1.95</v>
      </c>
      <c r="J76" s="163">
        <v>1.15205</v>
      </c>
      <c r="K76" s="163">
        <v>62.222000000000001</v>
      </c>
      <c r="L76" s="163">
        <v>0.120767</v>
      </c>
      <c r="M76" s="163">
        <v>0.56699999999999995</v>
      </c>
      <c r="N76" s="163">
        <v>0.77268000000000003</v>
      </c>
      <c r="O76" s="163">
        <v>0.55268598700000005</v>
      </c>
      <c r="P76" s="163">
        <v>2.2999999999999998</v>
      </c>
      <c r="Q76" s="164">
        <v>-0.33257599999999998</v>
      </c>
    </row>
    <row r="77" spans="1:17" ht="15" x14ac:dyDescent="0.25">
      <c r="A77" s="156" t="s">
        <v>440</v>
      </c>
      <c r="B77" s="156" t="s">
        <v>786</v>
      </c>
      <c r="C77" s="156">
        <v>8469</v>
      </c>
      <c r="D77" s="156">
        <v>231</v>
      </c>
      <c r="E77" s="156">
        <v>86</v>
      </c>
      <c r="F77" s="156">
        <v>164</v>
      </c>
      <c r="G77" s="156">
        <v>86</v>
      </c>
      <c r="H77" s="156">
        <v>2.6860499999999998</v>
      </c>
      <c r="I77" s="156">
        <v>1.95</v>
      </c>
      <c r="J77" s="156">
        <v>1.03712</v>
      </c>
      <c r="K77" s="156">
        <v>4.3972100000000003</v>
      </c>
      <c r="L77" s="156">
        <v>4.8643199999999998E-2</v>
      </c>
      <c r="M77" s="156">
        <v>0.56699999999999995</v>
      </c>
      <c r="N77" s="156">
        <v>0.77268000000000003</v>
      </c>
      <c r="O77" s="156">
        <v>0.71858287799999998</v>
      </c>
      <c r="P77" s="156">
        <v>2.2999999999999998</v>
      </c>
      <c r="Q77" s="159">
        <v>-0.28109000000000001</v>
      </c>
    </row>
    <row r="78" spans="1:17" ht="15" x14ac:dyDescent="0.25">
      <c r="A78" s="163" t="s">
        <v>440</v>
      </c>
      <c r="B78" s="163" t="s">
        <v>787</v>
      </c>
      <c r="C78" s="163">
        <v>8986</v>
      </c>
      <c r="D78" s="163">
        <v>118</v>
      </c>
      <c r="E78" s="163">
        <v>39</v>
      </c>
      <c r="F78" s="163">
        <v>0</v>
      </c>
      <c r="G78" s="163">
        <v>43</v>
      </c>
      <c r="H78" s="163">
        <v>3.0256400000000001</v>
      </c>
      <c r="I78" s="163">
        <v>1.95</v>
      </c>
      <c r="J78" s="163">
        <v>1.06701</v>
      </c>
      <c r="K78" s="163">
        <v>4.0551300000000001</v>
      </c>
      <c r="L78" s="163">
        <v>9.4184500000000004E-2</v>
      </c>
      <c r="M78" s="163">
        <v>0.56699999999999995</v>
      </c>
      <c r="N78" s="163">
        <v>0.77268000000000003</v>
      </c>
      <c r="O78" s="163">
        <v>0.71858287799999998</v>
      </c>
      <c r="P78" s="163">
        <v>2.2999999999999998</v>
      </c>
      <c r="Q78" s="164">
        <v>-2.26372E-2</v>
      </c>
    </row>
    <row r="79" spans="1:17" ht="15" x14ac:dyDescent="0.25">
      <c r="A79" s="156" t="s">
        <v>440</v>
      </c>
      <c r="B79" s="156" t="s">
        <v>788</v>
      </c>
      <c r="C79" s="156">
        <v>1169</v>
      </c>
      <c r="D79" s="156">
        <v>582</v>
      </c>
      <c r="E79" s="156">
        <v>168</v>
      </c>
      <c r="F79" s="156">
        <v>0</v>
      </c>
      <c r="G79" s="156">
        <v>179</v>
      </c>
      <c r="H79" s="156">
        <v>3.4642900000000001</v>
      </c>
      <c r="I79" s="156">
        <v>1.95</v>
      </c>
      <c r="J79" s="156">
        <v>1</v>
      </c>
      <c r="K79" s="156">
        <v>0</v>
      </c>
      <c r="L79" s="156">
        <v>0</v>
      </c>
      <c r="M79" s="156">
        <v>0.56699999999999995</v>
      </c>
      <c r="N79" s="156">
        <v>0.77268000000000003</v>
      </c>
      <c r="O79" s="156">
        <v>0.71858287799999998</v>
      </c>
      <c r="P79" s="156">
        <v>2.2999999999999998</v>
      </c>
      <c r="Q79" s="159">
        <v>-0.78223299999999996</v>
      </c>
    </row>
    <row r="80" spans="1:17" ht="15" x14ac:dyDescent="0.25">
      <c r="A80" s="163" t="s">
        <v>440</v>
      </c>
      <c r="B80" s="163" t="s">
        <v>458</v>
      </c>
      <c r="C80" s="163">
        <v>6879</v>
      </c>
      <c r="D80" s="163">
        <v>1777</v>
      </c>
      <c r="E80" s="163">
        <v>1081</v>
      </c>
      <c r="F80" s="163">
        <v>0</v>
      </c>
      <c r="G80" s="163">
        <v>1236</v>
      </c>
      <c r="H80" s="163">
        <v>1.64385</v>
      </c>
      <c r="I80" s="163">
        <v>1.95</v>
      </c>
      <c r="J80" s="163">
        <v>1.0416700000000001</v>
      </c>
      <c r="K80" s="163">
        <v>37.970100000000002</v>
      </c>
      <c r="L80" s="163">
        <v>3.3932999999999998E-2</v>
      </c>
      <c r="M80" s="163">
        <v>0.56699999999999995</v>
      </c>
      <c r="N80" s="163">
        <v>0.77268000000000003</v>
      </c>
      <c r="O80" s="163">
        <v>0.71858287799999998</v>
      </c>
      <c r="P80" s="163">
        <v>2.2999999999999998</v>
      </c>
      <c r="Q80" s="164">
        <v>-0.30697400000000002</v>
      </c>
    </row>
    <row r="81" spans="1:17" ht="15" x14ac:dyDescent="0.25">
      <c r="A81" s="156" t="s">
        <v>440</v>
      </c>
      <c r="B81" s="156" t="s">
        <v>789</v>
      </c>
      <c r="C81" s="156">
        <v>2285</v>
      </c>
      <c r="D81" s="156">
        <v>2436</v>
      </c>
      <c r="E81" s="156">
        <v>763</v>
      </c>
      <c r="F81" s="156">
        <v>0</v>
      </c>
      <c r="G81" s="156">
        <v>793</v>
      </c>
      <c r="H81" s="156">
        <v>3.1926600000000001</v>
      </c>
      <c r="I81" s="156">
        <v>1.95</v>
      </c>
      <c r="J81" s="156">
        <v>1.0132099999999999</v>
      </c>
      <c r="K81" s="156">
        <v>16.5076</v>
      </c>
      <c r="L81" s="156">
        <v>2.1177000000000001E-2</v>
      </c>
      <c r="M81" s="156">
        <v>0.56699999999999995</v>
      </c>
      <c r="N81" s="156">
        <v>0.77268000000000003</v>
      </c>
      <c r="O81" s="156">
        <v>0.71858287799999998</v>
      </c>
      <c r="P81" s="156">
        <v>2.2999999999999998</v>
      </c>
      <c r="Q81" s="159">
        <v>-0.33400800000000003</v>
      </c>
    </row>
    <row r="82" spans="1:17" ht="15" x14ac:dyDescent="0.25">
      <c r="A82" s="163" t="s">
        <v>440</v>
      </c>
      <c r="B82" s="163" t="s">
        <v>790</v>
      </c>
      <c r="C82" s="163">
        <v>13063</v>
      </c>
      <c r="D82" s="163">
        <v>626</v>
      </c>
      <c r="E82" s="163">
        <v>422</v>
      </c>
      <c r="F82" s="163">
        <v>74</v>
      </c>
      <c r="G82" s="163">
        <v>540</v>
      </c>
      <c r="H82" s="163">
        <v>1.4834099999999999</v>
      </c>
      <c r="I82" s="163">
        <v>1.95</v>
      </c>
      <c r="J82" s="163">
        <v>1</v>
      </c>
      <c r="K82" s="163">
        <v>0</v>
      </c>
      <c r="L82" s="163">
        <v>0</v>
      </c>
      <c r="M82" s="163">
        <v>0.56699999999999995</v>
      </c>
      <c r="N82" s="163">
        <v>0.77268000000000003</v>
      </c>
      <c r="O82" s="163">
        <v>0.71858287799999998</v>
      </c>
      <c r="P82" s="163">
        <v>2.2999999999999998</v>
      </c>
      <c r="Q82" s="164">
        <v>0.45331500000000002</v>
      </c>
    </row>
    <row r="83" spans="1:17" ht="15" x14ac:dyDescent="0.25">
      <c r="A83" s="156" t="s">
        <v>440</v>
      </c>
      <c r="B83" s="156" t="s">
        <v>791</v>
      </c>
      <c r="C83" s="156">
        <v>245</v>
      </c>
      <c r="D83" s="156">
        <v>507</v>
      </c>
      <c r="E83" s="156">
        <v>278</v>
      </c>
      <c r="F83" s="156">
        <v>0</v>
      </c>
      <c r="G83" s="156">
        <v>355</v>
      </c>
      <c r="H83" s="156">
        <v>1.8237399999999999</v>
      </c>
      <c r="I83" s="156">
        <v>1.95</v>
      </c>
      <c r="J83" s="156">
        <v>1.07443</v>
      </c>
      <c r="K83" s="156">
        <v>19.351800000000001</v>
      </c>
      <c r="L83" s="156">
        <v>6.5080600000000002E-2</v>
      </c>
      <c r="M83" s="156">
        <v>0.56699999999999995</v>
      </c>
      <c r="N83" s="156">
        <v>0.77268000000000003</v>
      </c>
      <c r="O83" s="156">
        <v>0.71858287799999998</v>
      </c>
      <c r="P83" s="156">
        <v>2.2999999999999998</v>
      </c>
      <c r="Q83" s="159">
        <v>1.9339599999999999</v>
      </c>
    </row>
    <row r="84" spans="1:17" ht="15" x14ac:dyDescent="0.25">
      <c r="A84" s="163" t="s">
        <v>440</v>
      </c>
      <c r="B84" s="163" t="s">
        <v>444</v>
      </c>
      <c r="C84" s="163">
        <v>1776</v>
      </c>
      <c r="D84" s="163">
        <v>51867</v>
      </c>
      <c r="E84" s="163">
        <v>18496</v>
      </c>
      <c r="F84" s="163">
        <v>1168</v>
      </c>
      <c r="G84" s="163">
        <v>19703</v>
      </c>
      <c r="H84" s="163">
        <v>2.80423</v>
      </c>
      <c r="I84" s="163">
        <v>1.95</v>
      </c>
      <c r="J84" s="163">
        <v>1.0602799999999999</v>
      </c>
      <c r="K84" s="163">
        <v>1603.45</v>
      </c>
      <c r="L84" s="163">
        <v>7.9775600000000002E-2</v>
      </c>
      <c r="M84" s="163">
        <v>0.56699999999999995</v>
      </c>
      <c r="N84" s="163">
        <v>0.77268000000000003</v>
      </c>
      <c r="O84" s="163">
        <v>0.71858287799999998</v>
      </c>
      <c r="P84" s="163">
        <v>2.2999999999999998</v>
      </c>
      <c r="Q84" s="164">
        <v>6.1330099999999999E-2</v>
      </c>
    </row>
    <row r="85" spans="1:17" ht="15" x14ac:dyDescent="0.25">
      <c r="A85" s="156" t="s">
        <v>440</v>
      </c>
      <c r="B85" s="156" t="s">
        <v>448</v>
      </c>
      <c r="C85" s="156">
        <v>2062</v>
      </c>
      <c r="D85" s="156">
        <v>587678</v>
      </c>
      <c r="E85" s="156">
        <v>245436</v>
      </c>
      <c r="F85" s="156">
        <v>22214</v>
      </c>
      <c r="G85" s="156">
        <v>265831</v>
      </c>
      <c r="H85" s="156">
        <v>2.3944200000000002</v>
      </c>
      <c r="I85" s="156">
        <v>1.95</v>
      </c>
      <c r="J85" s="156">
        <v>1.0109600000000001</v>
      </c>
      <c r="K85" s="156">
        <v>3303.91</v>
      </c>
      <c r="L85" s="156">
        <v>1.32826E-2</v>
      </c>
      <c r="M85" s="156">
        <v>0.56699999999999995</v>
      </c>
      <c r="N85" s="156">
        <v>0.77268000000000003</v>
      </c>
      <c r="O85" s="156">
        <v>0.71858287799999998</v>
      </c>
      <c r="P85" s="156">
        <v>2.2999999999999998</v>
      </c>
      <c r="Q85" s="159">
        <v>0.73428800000000005</v>
      </c>
    </row>
    <row r="86" spans="1:17" ht="15" x14ac:dyDescent="0.25">
      <c r="A86" s="163" t="s">
        <v>440</v>
      </c>
      <c r="B86" s="163" t="s">
        <v>442</v>
      </c>
      <c r="C86" s="163">
        <v>450</v>
      </c>
      <c r="D86" s="163">
        <v>38355</v>
      </c>
      <c r="E86" s="163">
        <v>15998</v>
      </c>
      <c r="F86" s="163">
        <v>583</v>
      </c>
      <c r="G86" s="163">
        <v>16977</v>
      </c>
      <c r="H86" s="163">
        <v>2.3974899999999999</v>
      </c>
      <c r="I86" s="163">
        <v>1.95</v>
      </c>
      <c r="J86" s="163">
        <v>1.0110399999999999</v>
      </c>
      <c r="K86" s="163">
        <v>217.239</v>
      </c>
      <c r="L86" s="163">
        <v>1.33972E-2</v>
      </c>
      <c r="M86" s="163">
        <v>0.56699999999999995</v>
      </c>
      <c r="N86" s="163">
        <v>0.77268000000000003</v>
      </c>
      <c r="O86" s="163">
        <v>0.71858287799999998</v>
      </c>
      <c r="P86" s="163">
        <v>2.2999999999999998</v>
      </c>
      <c r="Q86" s="164">
        <v>-0.44248700000000002</v>
      </c>
    </row>
    <row r="87" spans="1:17" ht="15" x14ac:dyDescent="0.25">
      <c r="A87" s="156" t="s">
        <v>440</v>
      </c>
      <c r="B87" s="156" t="s">
        <v>792</v>
      </c>
      <c r="C87" s="156">
        <v>13004</v>
      </c>
      <c r="D87" s="156">
        <v>600</v>
      </c>
      <c r="E87" s="156">
        <v>242</v>
      </c>
      <c r="F87" s="156">
        <v>0</v>
      </c>
      <c r="G87" s="156">
        <v>292</v>
      </c>
      <c r="H87" s="156">
        <v>2.4793400000000001</v>
      </c>
      <c r="I87" s="156">
        <v>1.95</v>
      </c>
      <c r="J87" s="156">
        <v>1.05158</v>
      </c>
      <c r="K87" s="156">
        <v>15.8713</v>
      </c>
      <c r="L87" s="156">
        <v>6.1547299999999999E-2</v>
      </c>
      <c r="M87" s="156">
        <v>0.56699999999999995</v>
      </c>
      <c r="N87" s="156">
        <v>0.77268000000000003</v>
      </c>
      <c r="O87" s="156">
        <v>0.71858287799999998</v>
      </c>
      <c r="P87" s="156">
        <v>2.2999999999999998</v>
      </c>
      <c r="Q87" s="159">
        <v>0.116649</v>
      </c>
    </row>
    <row r="88" spans="1:17" ht="15" x14ac:dyDescent="0.25">
      <c r="A88" s="163" t="s">
        <v>440</v>
      </c>
      <c r="B88" s="163" t="s">
        <v>793</v>
      </c>
      <c r="C88" s="163">
        <v>10977</v>
      </c>
      <c r="D88" s="163">
        <v>14</v>
      </c>
      <c r="E88" s="163">
        <v>4</v>
      </c>
      <c r="F88" s="163">
        <v>17</v>
      </c>
      <c r="G88" s="163">
        <v>4</v>
      </c>
      <c r="H88" s="163">
        <v>3.5</v>
      </c>
      <c r="I88" s="163">
        <v>1.95</v>
      </c>
      <c r="J88" s="163">
        <v>1.03712</v>
      </c>
      <c r="K88" s="163">
        <v>0.26650000000000001</v>
      </c>
      <c r="L88" s="163">
        <v>6.2462799999999999E-2</v>
      </c>
      <c r="M88" s="163">
        <v>0.56699999999999995</v>
      </c>
      <c r="N88" s="163">
        <v>0.77268000000000003</v>
      </c>
      <c r="O88" s="163">
        <v>0.71858287799999998</v>
      </c>
      <c r="P88" s="163">
        <v>2.2999999999999998</v>
      </c>
      <c r="Q88" s="164">
        <v>-0.28109000000000001</v>
      </c>
    </row>
    <row r="89" spans="1:17" ht="15" x14ac:dyDescent="0.25">
      <c r="A89" s="156" t="s">
        <v>440</v>
      </c>
      <c r="B89" s="156" t="s">
        <v>794</v>
      </c>
      <c r="C89" s="156">
        <v>12621</v>
      </c>
      <c r="D89" s="156">
        <v>594</v>
      </c>
      <c r="E89" s="156">
        <v>333</v>
      </c>
      <c r="F89" s="156">
        <v>0</v>
      </c>
      <c r="G89" s="156">
        <v>509</v>
      </c>
      <c r="H89" s="156">
        <v>1.7837799999999999</v>
      </c>
      <c r="I89" s="156">
        <v>1.95</v>
      </c>
      <c r="J89" s="156">
        <v>1.07443</v>
      </c>
      <c r="K89" s="156">
        <v>22.672599999999999</v>
      </c>
      <c r="L89" s="156">
        <v>6.3745599999999999E-2</v>
      </c>
      <c r="M89" s="156">
        <v>0.56699999999999995</v>
      </c>
      <c r="N89" s="156">
        <v>0.77268000000000003</v>
      </c>
      <c r="O89" s="156">
        <v>0.71858287799999998</v>
      </c>
      <c r="P89" s="156">
        <v>2.2999999999999998</v>
      </c>
      <c r="Q89" s="159">
        <v>-0.36208000000000001</v>
      </c>
    </row>
    <row r="90" spans="1:17" ht="15" x14ac:dyDescent="0.25">
      <c r="A90" s="163" t="s">
        <v>440</v>
      </c>
      <c r="B90" s="163" t="s">
        <v>472</v>
      </c>
      <c r="C90" s="163">
        <v>1787</v>
      </c>
      <c r="D90" s="163">
        <v>823</v>
      </c>
      <c r="E90" s="163">
        <v>328</v>
      </c>
      <c r="F90" s="163">
        <v>0</v>
      </c>
      <c r="G90" s="163">
        <v>330</v>
      </c>
      <c r="H90" s="163">
        <v>2.50915</v>
      </c>
      <c r="I90" s="163">
        <v>1.95</v>
      </c>
      <c r="J90" s="163">
        <v>1.0016799999999999</v>
      </c>
      <c r="K90" s="163">
        <v>0.70845000000000002</v>
      </c>
      <c r="L90" s="163">
        <v>2.1553000000000002E-3</v>
      </c>
      <c r="M90" s="163">
        <v>0.56699999999999995</v>
      </c>
      <c r="N90" s="163">
        <v>0.77268000000000003</v>
      </c>
      <c r="O90" s="163">
        <v>0.71858287799999998</v>
      </c>
      <c r="P90" s="163">
        <v>2.2999999999999998</v>
      </c>
      <c r="Q90" s="164">
        <v>-0.55100199999999999</v>
      </c>
    </row>
    <row r="91" spans="1:17" ht="15" x14ac:dyDescent="0.25">
      <c r="A91" s="156" t="s">
        <v>440</v>
      </c>
      <c r="B91" s="156" t="s">
        <v>472</v>
      </c>
      <c r="C91" s="156">
        <v>20141</v>
      </c>
      <c r="D91" s="156">
        <v>699297</v>
      </c>
      <c r="E91" s="156">
        <v>264215</v>
      </c>
      <c r="F91" s="156">
        <v>4933</v>
      </c>
      <c r="G91" s="156">
        <v>281341</v>
      </c>
      <c r="H91" s="156">
        <v>2.6467000000000001</v>
      </c>
      <c r="I91" s="156">
        <v>1.95</v>
      </c>
      <c r="J91" s="156">
        <v>1.02152</v>
      </c>
      <c r="K91" s="156">
        <v>7717.98</v>
      </c>
      <c r="L91" s="156">
        <v>2.8381900000000002E-2</v>
      </c>
      <c r="M91" s="156">
        <v>0.56699999999999995</v>
      </c>
      <c r="N91" s="156">
        <v>0.77268000000000003</v>
      </c>
      <c r="O91" s="156">
        <v>0.71858287799999998</v>
      </c>
      <c r="P91" s="156">
        <v>2.2999999999999998</v>
      </c>
      <c r="Q91" s="159">
        <v>-0.48954599999999998</v>
      </c>
    </row>
    <row r="92" spans="1:17" ht="15" x14ac:dyDescent="0.25">
      <c r="A92" s="163" t="s">
        <v>440</v>
      </c>
      <c r="B92" s="163" t="s">
        <v>795</v>
      </c>
      <c r="C92" s="163">
        <v>12513</v>
      </c>
      <c r="D92" s="163">
        <v>1367</v>
      </c>
      <c r="E92" s="163">
        <v>729</v>
      </c>
      <c r="F92" s="163">
        <v>0</v>
      </c>
      <c r="G92" s="163">
        <v>805</v>
      </c>
      <c r="H92" s="163">
        <v>1.87517</v>
      </c>
      <c r="I92" s="163">
        <v>1.95</v>
      </c>
      <c r="J92" s="163">
        <v>1.08117</v>
      </c>
      <c r="K92" s="163">
        <v>56.905000000000001</v>
      </c>
      <c r="L92" s="163">
        <v>7.2406899999999996E-2</v>
      </c>
      <c r="M92" s="163">
        <v>0.56699999999999995</v>
      </c>
      <c r="N92" s="163">
        <v>0.77268000000000003</v>
      </c>
      <c r="O92" s="163">
        <v>0.71858287799999998</v>
      </c>
      <c r="P92" s="163">
        <v>2.2999999999999998</v>
      </c>
      <c r="Q92" s="164">
        <v>-0.21091799999999999</v>
      </c>
    </row>
    <row r="93" spans="1:17" ht="15" x14ac:dyDescent="0.25">
      <c r="A93" s="156" t="s">
        <v>440</v>
      </c>
      <c r="B93" s="156" t="s">
        <v>454</v>
      </c>
      <c r="C93" s="156">
        <v>2888</v>
      </c>
      <c r="D93" s="156">
        <v>388</v>
      </c>
      <c r="E93" s="156">
        <v>205</v>
      </c>
      <c r="F93" s="156">
        <v>0</v>
      </c>
      <c r="G93" s="156">
        <v>262</v>
      </c>
      <c r="H93" s="156">
        <v>1.8926799999999999</v>
      </c>
      <c r="I93" s="156">
        <v>1.95</v>
      </c>
      <c r="J93" s="156">
        <v>1.07443</v>
      </c>
      <c r="K93" s="156">
        <v>14.809699999999999</v>
      </c>
      <c r="L93" s="156">
        <v>6.7375000000000004E-2</v>
      </c>
      <c r="M93" s="156">
        <v>0.56699999999999995</v>
      </c>
      <c r="N93" s="156">
        <v>0.77268000000000003</v>
      </c>
      <c r="O93" s="156">
        <v>0.71858287799999998</v>
      </c>
      <c r="P93" s="156">
        <v>2.2999999999999998</v>
      </c>
      <c r="Q93" s="159">
        <v>1.9339599999999999</v>
      </c>
    </row>
    <row r="94" spans="1:17" ht="15" x14ac:dyDescent="0.25">
      <c r="A94" s="163" t="s">
        <v>440</v>
      </c>
      <c r="B94" s="163" t="s">
        <v>460</v>
      </c>
      <c r="C94" s="163">
        <v>7002</v>
      </c>
      <c r="D94" s="163">
        <v>1086</v>
      </c>
      <c r="E94" s="163">
        <v>603</v>
      </c>
      <c r="F94" s="163">
        <v>0</v>
      </c>
      <c r="G94" s="163">
        <v>618</v>
      </c>
      <c r="H94" s="163">
        <v>1.8009900000000001</v>
      </c>
      <c r="I94" s="163">
        <v>1.95</v>
      </c>
      <c r="J94" s="163">
        <v>1.0317700000000001</v>
      </c>
      <c r="K94" s="163">
        <v>17.693100000000001</v>
      </c>
      <c r="L94" s="163">
        <v>2.85054E-2</v>
      </c>
      <c r="M94" s="163">
        <v>0.56699999999999995</v>
      </c>
      <c r="N94" s="163">
        <v>0.77268000000000003</v>
      </c>
      <c r="O94" s="163">
        <v>0.71858287799999998</v>
      </c>
      <c r="P94" s="163">
        <v>2.2999999999999998</v>
      </c>
      <c r="Q94" s="164">
        <v>-0.485595</v>
      </c>
    </row>
    <row r="95" spans="1:17" ht="15" x14ac:dyDescent="0.25">
      <c r="A95" s="156" t="s">
        <v>440</v>
      </c>
      <c r="B95" s="156" t="s">
        <v>796</v>
      </c>
      <c r="C95" s="156">
        <v>8579</v>
      </c>
      <c r="D95" s="156">
        <v>305</v>
      </c>
      <c r="E95" s="156">
        <v>179</v>
      </c>
      <c r="F95" s="156">
        <v>0</v>
      </c>
      <c r="G95" s="156">
        <v>253</v>
      </c>
      <c r="H95" s="156">
        <v>1.70391</v>
      </c>
      <c r="I95" s="156">
        <v>1.95</v>
      </c>
      <c r="J95" s="156">
        <v>1.07443</v>
      </c>
      <c r="K95" s="156">
        <v>11.6416</v>
      </c>
      <c r="L95" s="156">
        <v>6.1065500000000002E-2</v>
      </c>
      <c r="M95" s="156">
        <v>0.56699999999999995</v>
      </c>
      <c r="N95" s="156">
        <v>0.77268000000000003</v>
      </c>
      <c r="O95" s="156">
        <v>0.71858287799999998</v>
      </c>
      <c r="P95" s="156">
        <v>2.2999999999999998</v>
      </c>
      <c r="Q95" s="159">
        <v>1.9339599999999999</v>
      </c>
    </row>
    <row r="96" spans="1:17" ht="15" x14ac:dyDescent="0.25">
      <c r="A96" s="163" t="s">
        <v>440</v>
      </c>
      <c r="B96" s="163" t="s">
        <v>797</v>
      </c>
      <c r="C96" s="163">
        <v>1</v>
      </c>
      <c r="D96" s="163">
        <v>145</v>
      </c>
      <c r="E96" s="163">
        <v>31</v>
      </c>
      <c r="F96" s="163">
        <v>0</v>
      </c>
      <c r="G96" s="163">
        <v>51</v>
      </c>
      <c r="H96" s="163">
        <v>4.6774199999999997</v>
      </c>
      <c r="I96" s="163">
        <v>1.95</v>
      </c>
      <c r="J96" s="163">
        <v>1.07443</v>
      </c>
      <c r="K96" s="163">
        <v>5.5345500000000003</v>
      </c>
      <c r="L96" s="163">
        <v>0.15148800000000001</v>
      </c>
      <c r="M96" s="163">
        <v>0.56699999999999995</v>
      </c>
      <c r="N96" s="163">
        <v>0.77268000000000003</v>
      </c>
      <c r="O96" s="163">
        <v>0.71858287799999998</v>
      </c>
      <c r="P96" s="163">
        <v>2.2999999999999998</v>
      </c>
      <c r="Q96" s="164">
        <v>15</v>
      </c>
    </row>
    <row r="97" spans="1:17" ht="15" x14ac:dyDescent="0.25">
      <c r="A97" s="156" t="s">
        <v>440</v>
      </c>
      <c r="B97" s="156" t="s">
        <v>798</v>
      </c>
      <c r="C97" s="156">
        <v>7153</v>
      </c>
      <c r="D97" s="156">
        <v>883</v>
      </c>
      <c r="E97" s="156">
        <v>282</v>
      </c>
      <c r="F97" s="156">
        <v>0</v>
      </c>
      <c r="G97" s="156">
        <v>291</v>
      </c>
      <c r="H97" s="156">
        <v>3.1312099999999998</v>
      </c>
      <c r="I97" s="156">
        <v>1.95</v>
      </c>
      <c r="J97" s="156">
        <v>1.06701</v>
      </c>
      <c r="K97" s="156">
        <v>30.3447</v>
      </c>
      <c r="L97" s="156">
        <v>9.7151399999999999E-2</v>
      </c>
      <c r="M97" s="156">
        <v>0.56699999999999995</v>
      </c>
      <c r="N97" s="156">
        <v>0.77268000000000003</v>
      </c>
      <c r="O97" s="156">
        <v>0.71858287799999998</v>
      </c>
      <c r="P97" s="156">
        <v>2.2999999999999998</v>
      </c>
      <c r="Q97" s="159">
        <v>-8.3018900000000007E-2</v>
      </c>
    </row>
    <row r="98" spans="1:17" ht="15" x14ac:dyDescent="0.25">
      <c r="A98" s="163" t="s">
        <v>440</v>
      </c>
      <c r="B98" s="163" t="s">
        <v>799</v>
      </c>
      <c r="C98" s="163">
        <v>3926</v>
      </c>
      <c r="D98" s="163">
        <v>1155</v>
      </c>
      <c r="E98" s="163">
        <v>363</v>
      </c>
      <c r="F98" s="163">
        <v>0</v>
      </c>
      <c r="G98" s="163">
        <v>363</v>
      </c>
      <c r="H98" s="163">
        <v>3.1818200000000001</v>
      </c>
      <c r="I98" s="163">
        <v>1.95</v>
      </c>
      <c r="J98" s="163">
        <v>1.0546800000000001</v>
      </c>
      <c r="K98" s="163">
        <v>32.3889</v>
      </c>
      <c r="L98" s="163">
        <v>8.1916500000000003E-2</v>
      </c>
      <c r="M98" s="163">
        <v>0.56699999999999995</v>
      </c>
      <c r="N98" s="163">
        <v>0.77268000000000003</v>
      </c>
      <c r="O98" s="163">
        <v>0.71858287799999998</v>
      </c>
      <c r="P98" s="163">
        <v>2.2999999999999998</v>
      </c>
      <c r="Q98" s="164">
        <v>0.36367699999999997</v>
      </c>
    </row>
    <row r="99" spans="1:17" ht="15" x14ac:dyDescent="0.25">
      <c r="A99" s="156" t="s">
        <v>440</v>
      </c>
      <c r="B99" s="156" t="s">
        <v>470</v>
      </c>
      <c r="C99" s="156">
        <v>12994</v>
      </c>
      <c r="D99" s="156">
        <v>5560</v>
      </c>
      <c r="E99" s="156">
        <v>2268</v>
      </c>
      <c r="F99" s="156">
        <v>0</v>
      </c>
      <c r="G99" s="156">
        <v>2357</v>
      </c>
      <c r="H99" s="156">
        <v>2.4514999999999998</v>
      </c>
      <c r="I99" s="156">
        <v>1.95</v>
      </c>
      <c r="J99" s="156">
        <v>1.00258</v>
      </c>
      <c r="K99" s="156">
        <v>7.3656199999999998</v>
      </c>
      <c r="L99" s="156">
        <v>3.2371000000000001E-3</v>
      </c>
      <c r="M99" s="156">
        <v>0.56699999999999995</v>
      </c>
      <c r="N99" s="156">
        <v>0.77268000000000003</v>
      </c>
      <c r="O99" s="156">
        <v>0.71858287799999998</v>
      </c>
      <c r="P99" s="156">
        <v>2.2999999999999998</v>
      </c>
      <c r="Q99" s="159">
        <v>-0.53489799999999998</v>
      </c>
    </row>
    <row r="100" spans="1:17" ht="15" x14ac:dyDescent="0.25">
      <c r="A100" s="163" t="s">
        <v>440</v>
      </c>
      <c r="B100" s="163" t="s">
        <v>800</v>
      </c>
      <c r="C100" s="163">
        <v>6542</v>
      </c>
      <c r="D100" s="163">
        <v>192</v>
      </c>
      <c r="E100" s="163">
        <v>127</v>
      </c>
      <c r="F100" s="163">
        <v>0</v>
      </c>
      <c r="G100" s="163">
        <v>193</v>
      </c>
      <c r="H100" s="163">
        <v>1.5118100000000001</v>
      </c>
      <c r="I100" s="163">
        <v>1.95</v>
      </c>
      <c r="J100" s="163">
        <v>1.05158</v>
      </c>
      <c r="K100" s="163">
        <v>5.0788099999999998</v>
      </c>
      <c r="L100" s="163">
        <v>3.8452800000000002E-2</v>
      </c>
      <c r="M100" s="163">
        <v>0.56699999999999995</v>
      </c>
      <c r="N100" s="163">
        <v>0.77268000000000003</v>
      </c>
      <c r="O100" s="163">
        <v>0.71858287799999998</v>
      </c>
      <c r="P100" s="163">
        <v>2.2999999999999998</v>
      </c>
      <c r="Q100" s="164">
        <v>-1.3829800000000001</v>
      </c>
    </row>
    <row r="101" spans="1:17" ht="15" x14ac:dyDescent="0.25">
      <c r="A101" s="156" t="s">
        <v>440</v>
      </c>
      <c r="B101" s="156" t="s">
        <v>462</v>
      </c>
      <c r="C101" s="156">
        <v>7637</v>
      </c>
      <c r="D101" s="156">
        <v>1241</v>
      </c>
      <c r="E101" s="156">
        <v>641</v>
      </c>
      <c r="F101" s="156">
        <v>0</v>
      </c>
      <c r="G101" s="156">
        <v>797</v>
      </c>
      <c r="H101" s="156">
        <v>1.93604</v>
      </c>
      <c r="I101" s="156">
        <v>1.95</v>
      </c>
      <c r="J101" s="156">
        <v>1.07443</v>
      </c>
      <c r="K101" s="156">
        <v>47.368099999999998</v>
      </c>
      <c r="L101" s="156">
        <v>6.8812100000000001E-2</v>
      </c>
      <c r="M101" s="156">
        <v>0.56699999999999995</v>
      </c>
      <c r="N101" s="156">
        <v>0.77268000000000003</v>
      </c>
      <c r="O101" s="156">
        <v>0.71858287799999998</v>
      </c>
      <c r="P101" s="156">
        <v>2.2999999999999998</v>
      </c>
      <c r="Q101" s="159">
        <v>-0.36208000000000001</v>
      </c>
    </row>
    <row r="102" spans="1:17" ht="15" x14ac:dyDescent="0.25">
      <c r="A102" s="163" t="s">
        <v>440</v>
      </c>
      <c r="B102" s="163" t="s">
        <v>801</v>
      </c>
      <c r="C102" s="163">
        <v>6230</v>
      </c>
      <c r="D102" s="163">
        <v>554</v>
      </c>
      <c r="E102" s="163">
        <v>342</v>
      </c>
      <c r="F102" s="163">
        <v>0</v>
      </c>
      <c r="G102" s="163">
        <v>822</v>
      </c>
      <c r="H102" s="163">
        <v>1.61988</v>
      </c>
      <c r="I102" s="163">
        <v>1.95</v>
      </c>
      <c r="J102" s="163">
        <v>1.41842</v>
      </c>
      <c r="K102" s="163">
        <v>118.874</v>
      </c>
      <c r="L102" s="163">
        <v>0.25793100000000002</v>
      </c>
      <c r="M102" s="163">
        <v>0.56699999999999995</v>
      </c>
      <c r="N102" s="163">
        <v>0.77268000000000003</v>
      </c>
      <c r="O102" s="163">
        <v>0.71858287799999998</v>
      </c>
      <c r="P102" s="163">
        <v>2.2999999999999998</v>
      </c>
      <c r="Q102" s="164">
        <v>0</v>
      </c>
    </row>
    <row r="103" spans="1:17" ht="15" x14ac:dyDescent="0.25">
      <c r="A103" s="156" t="s">
        <v>440</v>
      </c>
      <c r="B103" s="156" t="s">
        <v>802</v>
      </c>
      <c r="C103" s="156">
        <v>7643</v>
      </c>
      <c r="D103" s="156">
        <v>174</v>
      </c>
      <c r="E103" s="156">
        <v>84</v>
      </c>
      <c r="F103" s="156">
        <v>0</v>
      </c>
      <c r="G103" s="156">
        <v>96</v>
      </c>
      <c r="H103" s="156">
        <v>2.0714299999999999</v>
      </c>
      <c r="I103" s="156">
        <v>1.95</v>
      </c>
      <c r="J103" s="156">
        <v>1.05158</v>
      </c>
      <c r="K103" s="156">
        <v>4.6026699999999998</v>
      </c>
      <c r="L103" s="156">
        <v>5.1947300000000002E-2</v>
      </c>
      <c r="M103" s="156">
        <v>0.56699999999999995</v>
      </c>
      <c r="N103" s="156">
        <v>0.77268000000000003</v>
      </c>
      <c r="O103" s="156">
        <v>0.71858287799999998</v>
      </c>
      <c r="P103" s="156">
        <v>2.2999999999999998</v>
      </c>
      <c r="Q103" s="159">
        <v>-0.13513500000000001</v>
      </c>
    </row>
    <row r="104" spans="1:17" ht="15" x14ac:dyDescent="0.25">
      <c r="A104" s="163" t="s">
        <v>440</v>
      </c>
      <c r="B104" s="163" t="s">
        <v>803</v>
      </c>
      <c r="C104" s="163">
        <v>2955</v>
      </c>
      <c r="D104" s="163">
        <v>519</v>
      </c>
      <c r="E104" s="163">
        <v>269</v>
      </c>
      <c r="F104" s="163">
        <v>0</v>
      </c>
      <c r="G104" s="163">
        <v>339</v>
      </c>
      <c r="H104" s="163">
        <v>1.92937</v>
      </c>
      <c r="I104" s="163">
        <v>1.95</v>
      </c>
      <c r="J104" s="163">
        <v>1.05158</v>
      </c>
      <c r="K104" s="163">
        <v>13.7286</v>
      </c>
      <c r="L104" s="163">
        <v>4.8557700000000002E-2</v>
      </c>
      <c r="M104" s="163">
        <v>0.56699999999999995</v>
      </c>
      <c r="N104" s="163">
        <v>0.77268000000000003</v>
      </c>
      <c r="O104" s="163">
        <v>0.71858287799999998</v>
      </c>
      <c r="P104" s="163">
        <v>2.2999999999999998</v>
      </c>
      <c r="Q104" s="164">
        <v>-0.13513500000000001</v>
      </c>
    </row>
    <row r="105" spans="1:17" ht="15" x14ac:dyDescent="0.25">
      <c r="A105" s="156" t="s">
        <v>440</v>
      </c>
      <c r="B105" s="156" t="s">
        <v>804</v>
      </c>
      <c r="C105" s="156">
        <v>10543</v>
      </c>
      <c r="D105" s="156">
        <v>843</v>
      </c>
      <c r="E105" s="156">
        <v>297</v>
      </c>
      <c r="F105" s="156">
        <v>0</v>
      </c>
      <c r="G105" s="156">
        <v>304</v>
      </c>
      <c r="H105" s="156">
        <v>2.8383799999999999</v>
      </c>
      <c r="I105" s="156">
        <v>1.95</v>
      </c>
      <c r="J105" s="156">
        <v>1.0546800000000001</v>
      </c>
      <c r="K105" s="156">
        <v>23.639700000000001</v>
      </c>
      <c r="L105" s="156">
        <v>7.3726600000000003E-2</v>
      </c>
      <c r="M105" s="156">
        <v>0.56699999999999995</v>
      </c>
      <c r="N105" s="156">
        <v>0.77268000000000003</v>
      </c>
      <c r="O105" s="156">
        <v>0.71858287799999998</v>
      </c>
      <c r="P105" s="156">
        <v>2.2999999999999998</v>
      </c>
      <c r="Q105" s="159">
        <v>0.36367699999999997</v>
      </c>
    </row>
    <row r="106" spans="1:17" ht="15" x14ac:dyDescent="0.25">
      <c r="A106" s="163" t="s">
        <v>440</v>
      </c>
      <c r="B106" s="163" t="s">
        <v>805</v>
      </c>
      <c r="C106" s="163">
        <v>8788</v>
      </c>
      <c r="D106" s="163">
        <v>1001</v>
      </c>
      <c r="E106" s="163">
        <v>422</v>
      </c>
      <c r="F106" s="163">
        <v>0</v>
      </c>
      <c r="G106" s="163">
        <v>431</v>
      </c>
      <c r="H106" s="163">
        <v>2.3720400000000001</v>
      </c>
      <c r="I106" s="163">
        <v>1.95</v>
      </c>
      <c r="J106" s="163">
        <v>1.0016799999999999</v>
      </c>
      <c r="K106" s="163">
        <v>0.86167000000000005</v>
      </c>
      <c r="L106" s="163">
        <v>2.0376999999999999E-3</v>
      </c>
      <c r="M106" s="163">
        <v>0.56699999999999995</v>
      </c>
      <c r="N106" s="163">
        <v>0.77268000000000003</v>
      </c>
      <c r="O106" s="163">
        <v>0.71858287799999998</v>
      </c>
      <c r="P106" s="163">
        <v>2.2999999999999998</v>
      </c>
      <c r="Q106" s="164">
        <v>-0.55100199999999999</v>
      </c>
    </row>
    <row r="107" spans="1:17" ht="15" x14ac:dyDescent="0.25">
      <c r="A107" s="156" t="s">
        <v>440</v>
      </c>
      <c r="B107" s="156" t="s">
        <v>806</v>
      </c>
      <c r="C107" s="156">
        <v>3752</v>
      </c>
      <c r="D107" s="156">
        <v>84</v>
      </c>
      <c r="E107" s="156">
        <v>31</v>
      </c>
      <c r="F107" s="156">
        <v>0</v>
      </c>
      <c r="G107" s="156">
        <v>47</v>
      </c>
      <c r="H107" s="156">
        <v>2.7096800000000001</v>
      </c>
      <c r="I107" s="156">
        <v>1.95</v>
      </c>
      <c r="J107" s="156">
        <v>1.05158</v>
      </c>
      <c r="K107" s="156">
        <v>2.2219799999999998</v>
      </c>
      <c r="L107" s="156">
        <v>6.6882800000000006E-2</v>
      </c>
      <c r="M107" s="156">
        <v>0.56699999999999995</v>
      </c>
      <c r="N107" s="156">
        <v>0.77268000000000003</v>
      </c>
      <c r="O107" s="156">
        <v>0.71858287799999998</v>
      </c>
      <c r="P107" s="156">
        <v>2.2999999999999998</v>
      </c>
      <c r="Q107" s="159">
        <v>-0.81032400000000004</v>
      </c>
    </row>
    <row r="108" spans="1:17" ht="15" x14ac:dyDescent="0.25">
      <c r="A108" s="163" t="s">
        <v>440</v>
      </c>
      <c r="B108" s="163" t="s">
        <v>464</v>
      </c>
      <c r="C108" s="163">
        <v>7790</v>
      </c>
      <c r="D108" s="163">
        <v>2144</v>
      </c>
      <c r="E108" s="163">
        <v>719</v>
      </c>
      <c r="F108" s="163">
        <v>7</v>
      </c>
      <c r="G108" s="163">
        <v>831</v>
      </c>
      <c r="H108" s="163">
        <v>2.9819200000000001</v>
      </c>
      <c r="I108" s="163">
        <v>1.95</v>
      </c>
      <c r="J108" s="163">
        <v>1.01488</v>
      </c>
      <c r="K108" s="163">
        <v>16.360700000000001</v>
      </c>
      <c r="L108" s="163">
        <v>2.2248500000000001E-2</v>
      </c>
      <c r="M108" s="163">
        <v>0.56699999999999995</v>
      </c>
      <c r="N108" s="163">
        <v>0.77268000000000003</v>
      </c>
      <c r="O108" s="163">
        <v>0.71858287799999998</v>
      </c>
      <c r="P108" s="163">
        <v>2.2999999999999998</v>
      </c>
      <c r="Q108" s="164">
        <v>4.7104200000000001</v>
      </c>
    </row>
    <row r="109" spans="1:17" ht="15" x14ac:dyDescent="0.25">
      <c r="A109" s="156" t="s">
        <v>440</v>
      </c>
      <c r="B109" s="156" t="s">
        <v>807</v>
      </c>
      <c r="C109" s="156">
        <v>10986</v>
      </c>
      <c r="D109" s="156">
        <v>620</v>
      </c>
      <c r="E109" s="156">
        <v>302</v>
      </c>
      <c r="F109" s="156">
        <v>181</v>
      </c>
      <c r="G109" s="156">
        <v>329</v>
      </c>
      <c r="H109" s="156">
        <v>2.0529799999999998</v>
      </c>
      <c r="I109" s="156">
        <v>1.95</v>
      </c>
      <c r="J109" s="156">
        <v>1.00248</v>
      </c>
      <c r="K109" s="156">
        <v>0.78795000000000004</v>
      </c>
      <c r="L109" s="156">
        <v>2.6023000000000001E-3</v>
      </c>
      <c r="M109" s="156">
        <v>0.56699999999999995</v>
      </c>
      <c r="N109" s="156">
        <v>0.77268000000000003</v>
      </c>
      <c r="O109" s="156">
        <v>0.71858287799999998</v>
      </c>
      <c r="P109" s="156">
        <v>2.2999999999999998</v>
      </c>
      <c r="Q109" s="159">
        <v>-3.7748799999999999E-2</v>
      </c>
    </row>
    <row r="110" spans="1:17" ht="15" x14ac:dyDescent="0.25">
      <c r="A110" s="163" t="s">
        <v>440</v>
      </c>
      <c r="B110" s="163" t="s">
        <v>452</v>
      </c>
      <c r="C110" s="163">
        <v>2707</v>
      </c>
      <c r="D110" s="163">
        <v>3334</v>
      </c>
      <c r="E110" s="163">
        <v>1241</v>
      </c>
      <c r="F110" s="163">
        <v>17</v>
      </c>
      <c r="G110" s="163">
        <v>1298</v>
      </c>
      <c r="H110" s="163">
        <v>2.6865399999999999</v>
      </c>
      <c r="I110" s="163">
        <v>1.95</v>
      </c>
      <c r="J110" s="163">
        <v>1.00824</v>
      </c>
      <c r="K110" s="163">
        <v>14.087</v>
      </c>
      <c r="L110" s="163">
        <v>1.1224E-2</v>
      </c>
      <c r="M110" s="163">
        <v>0.56699999999999995</v>
      </c>
      <c r="N110" s="163">
        <v>0.77268000000000003</v>
      </c>
      <c r="O110" s="163">
        <v>0.71858287799999998</v>
      </c>
      <c r="P110" s="163">
        <v>2.2999999999999998</v>
      </c>
      <c r="Q110" s="164">
        <v>5.2785900000000003</v>
      </c>
    </row>
    <row r="111" spans="1:17" ht="15" x14ac:dyDescent="0.25">
      <c r="A111" s="156" t="s">
        <v>440</v>
      </c>
      <c r="B111" s="156" t="s">
        <v>456</v>
      </c>
      <c r="C111" s="156">
        <v>4757</v>
      </c>
      <c r="D111" s="156">
        <v>599</v>
      </c>
      <c r="E111" s="156">
        <v>367</v>
      </c>
      <c r="F111" s="156">
        <v>0</v>
      </c>
      <c r="G111" s="156">
        <v>744</v>
      </c>
      <c r="H111" s="156">
        <v>1.63215</v>
      </c>
      <c r="I111" s="156">
        <v>1.95</v>
      </c>
      <c r="J111" s="156">
        <v>1.07443</v>
      </c>
      <c r="K111" s="156">
        <v>22.863399999999999</v>
      </c>
      <c r="L111" s="156">
        <v>5.8644599999999998E-2</v>
      </c>
      <c r="M111" s="156">
        <v>0.56699999999999995</v>
      </c>
      <c r="N111" s="156">
        <v>0.77268000000000003</v>
      </c>
      <c r="O111" s="156">
        <v>0.71858287799999998</v>
      </c>
      <c r="P111" s="156">
        <v>2.2999999999999998</v>
      </c>
      <c r="Q111" s="159">
        <v>1.9339599999999999</v>
      </c>
    </row>
    <row r="112" spans="1:17" ht="15" x14ac:dyDescent="0.25">
      <c r="A112" s="163" t="s">
        <v>440</v>
      </c>
      <c r="B112" s="163" t="s">
        <v>468</v>
      </c>
      <c r="C112" s="163">
        <v>10443</v>
      </c>
      <c r="D112" s="163">
        <v>5255</v>
      </c>
      <c r="E112" s="163">
        <v>1976</v>
      </c>
      <c r="F112" s="163">
        <v>0</v>
      </c>
      <c r="G112" s="163">
        <v>2023</v>
      </c>
      <c r="H112" s="163">
        <v>2.6594099999999998</v>
      </c>
      <c r="I112" s="163">
        <v>1.95</v>
      </c>
      <c r="J112" s="163">
        <v>1.00254</v>
      </c>
      <c r="K112" s="163">
        <v>6.8510600000000004</v>
      </c>
      <c r="L112" s="163">
        <v>3.4551999999999999E-3</v>
      </c>
      <c r="M112" s="163">
        <v>0.56699999999999995</v>
      </c>
      <c r="N112" s="163">
        <v>0.77268000000000003</v>
      </c>
      <c r="O112" s="163">
        <v>0.71858287799999998</v>
      </c>
      <c r="P112" s="163">
        <v>2.2999999999999998</v>
      </c>
      <c r="Q112" s="164">
        <v>-0.83674499999999996</v>
      </c>
    </row>
    <row r="113" spans="1:17" ht="15" x14ac:dyDescent="0.25">
      <c r="A113" s="156" t="s">
        <v>440</v>
      </c>
      <c r="B113" s="156" t="s">
        <v>808</v>
      </c>
      <c r="C113" s="156">
        <v>435</v>
      </c>
      <c r="D113" s="156">
        <v>1942</v>
      </c>
      <c r="E113" s="156">
        <v>786</v>
      </c>
      <c r="F113" s="156">
        <v>0</v>
      </c>
      <c r="G113" s="156">
        <v>1073</v>
      </c>
      <c r="H113" s="156">
        <v>2.4707400000000002</v>
      </c>
      <c r="I113" s="156">
        <v>1.95</v>
      </c>
      <c r="J113" s="156">
        <v>1.00248</v>
      </c>
      <c r="K113" s="156">
        <v>2.46807</v>
      </c>
      <c r="L113" s="156">
        <v>3.1302000000000001E-3</v>
      </c>
      <c r="M113" s="156">
        <v>0.56699999999999995</v>
      </c>
      <c r="N113" s="156">
        <v>0.77268000000000003</v>
      </c>
      <c r="O113" s="156">
        <v>0.71858287799999998</v>
      </c>
      <c r="P113" s="156">
        <v>2.2999999999999998</v>
      </c>
      <c r="Q113" s="159">
        <v>-0.73754500000000001</v>
      </c>
    </row>
    <row r="114" spans="1:17" ht="15" x14ac:dyDescent="0.25">
      <c r="A114" s="163" t="s">
        <v>473</v>
      </c>
      <c r="B114" s="163" t="s">
        <v>475</v>
      </c>
      <c r="C114" s="163">
        <v>5640</v>
      </c>
      <c r="D114" s="163">
        <v>5180</v>
      </c>
      <c r="E114" s="163">
        <v>2116</v>
      </c>
      <c r="F114" s="163">
        <v>117</v>
      </c>
      <c r="G114" s="163">
        <v>2276</v>
      </c>
      <c r="H114" s="163">
        <v>2.4480200000000001</v>
      </c>
      <c r="I114" s="163">
        <v>1.95</v>
      </c>
      <c r="J114" s="163">
        <v>1.01871</v>
      </c>
      <c r="K114" s="163">
        <v>49.711599999999997</v>
      </c>
      <c r="L114" s="163">
        <v>2.2953899999999999E-2</v>
      </c>
      <c r="M114" s="163">
        <v>0.56699999999999995</v>
      </c>
      <c r="N114" s="163">
        <v>0.77268000000000003</v>
      </c>
      <c r="O114" s="163">
        <v>0.61676391200000003</v>
      </c>
      <c r="P114" s="163">
        <v>2.2999999999999998</v>
      </c>
      <c r="Q114" s="164">
        <v>-0.31641999999999998</v>
      </c>
    </row>
    <row r="115" spans="1:17" ht="15" x14ac:dyDescent="0.25">
      <c r="A115" s="156" t="s">
        <v>473</v>
      </c>
      <c r="B115" s="156" t="s">
        <v>479</v>
      </c>
      <c r="C115" s="156">
        <v>7825</v>
      </c>
      <c r="D115" s="156">
        <v>91</v>
      </c>
      <c r="E115" s="156">
        <v>39</v>
      </c>
      <c r="F115" s="156">
        <v>0</v>
      </c>
      <c r="G115" s="156">
        <v>44</v>
      </c>
      <c r="H115" s="156">
        <v>2.3333300000000001</v>
      </c>
      <c r="I115" s="156">
        <v>1.95</v>
      </c>
      <c r="J115" s="156">
        <v>1.01871</v>
      </c>
      <c r="K115" s="156">
        <v>0.87331000000000003</v>
      </c>
      <c r="L115" s="156">
        <v>2.19022E-2</v>
      </c>
      <c r="M115" s="156">
        <v>0.56699999999999995</v>
      </c>
      <c r="N115" s="156">
        <v>0.77268000000000003</v>
      </c>
      <c r="O115" s="156">
        <v>0.61676391200000003</v>
      </c>
      <c r="P115" s="156">
        <v>2.2999999999999998</v>
      </c>
      <c r="Q115" s="159">
        <v>-0.74034</v>
      </c>
    </row>
    <row r="116" spans="1:17" ht="15" x14ac:dyDescent="0.25">
      <c r="A116" s="163" t="s">
        <v>473</v>
      </c>
      <c r="B116" s="163" t="s">
        <v>481</v>
      </c>
      <c r="C116" s="163">
        <v>8953</v>
      </c>
      <c r="D116" s="163">
        <v>1734</v>
      </c>
      <c r="E116" s="163">
        <v>839</v>
      </c>
      <c r="F116" s="163">
        <v>36</v>
      </c>
      <c r="G116" s="163">
        <v>1044</v>
      </c>
      <c r="H116" s="163">
        <v>2.0667499999999999</v>
      </c>
      <c r="I116" s="163">
        <v>1.95</v>
      </c>
      <c r="J116" s="163">
        <v>1.21417</v>
      </c>
      <c r="K116" s="163">
        <v>190.44399999999999</v>
      </c>
      <c r="L116" s="163">
        <v>0.18499699999999999</v>
      </c>
      <c r="M116" s="163">
        <v>0.56699999999999995</v>
      </c>
      <c r="N116" s="163">
        <v>0.77268000000000003</v>
      </c>
      <c r="O116" s="163">
        <v>0.61676391200000003</v>
      </c>
      <c r="P116" s="163">
        <v>2.2999999999999998</v>
      </c>
      <c r="Q116" s="164">
        <v>-0.45571800000000001</v>
      </c>
    </row>
    <row r="117" spans="1:17" ht="15" x14ac:dyDescent="0.25">
      <c r="A117" s="156" t="s">
        <v>473</v>
      </c>
      <c r="B117" s="156" t="s">
        <v>477</v>
      </c>
      <c r="C117" s="156">
        <v>7755</v>
      </c>
      <c r="D117" s="156">
        <v>865</v>
      </c>
      <c r="E117" s="156">
        <v>451</v>
      </c>
      <c r="F117" s="156">
        <v>1</v>
      </c>
      <c r="G117" s="156">
        <v>689</v>
      </c>
      <c r="H117" s="156">
        <v>1.9179600000000001</v>
      </c>
      <c r="I117" s="156">
        <v>1.95</v>
      </c>
      <c r="J117" s="156">
        <v>1.07629</v>
      </c>
      <c r="K117" s="156">
        <v>33.840400000000002</v>
      </c>
      <c r="L117" s="156">
        <v>6.9796999999999998E-2</v>
      </c>
      <c r="M117" s="156">
        <v>0.56699999999999995</v>
      </c>
      <c r="N117" s="156">
        <v>0.77268000000000003</v>
      </c>
      <c r="O117" s="156">
        <v>0.61676391200000003</v>
      </c>
      <c r="P117" s="156">
        <v>2.2999999999999998</v>
      </c>
      <c r="Q117" s="159">
        <v>-0.45571800000000001</v>
      </c>
    </row>
    <row r="118" spans="1:17" ht="15" x14ac:dyDescent="0.25">
      <c r="A118" s="163" t="s">
        <v>482</v>
      </c>
      <c r="B118" s="163" t="s">
        <v>484</v>
      </c>
      <c r="C118" s="163">
        <v>6392</v>
      </c>
      <c r="D118" s="163">
        <v>68357</v>
      </c>
      <c r="E118" s="163">
        <v>30910</v>
      </c>
      <c r="F118" s="163">
        <v>2139</v>
      </c>
      <c r="G118" s="163">
        <v>36839</v>
      </c>
      <c r="H118" s="163">
        <v>2.2114799999999999</v>
      </c>
      <c r="I118" s="163">
        <v>1.95</v>
      </c>
      <c r="J118" s="163">
        <v>1.0632200000000001</v>
      </c>
      <c r="K118" s="163">
        <v>2216.12</v>
      </c>
      <c r="L118" s="163">
        <v>6.6899299999999995E-2</v>
      </c>
      <c r="M118" s="163">
        <v>0.442</v>
      </c>
      <c r="N118" s="163">
        <v>0.70704999999999996</v>
      </c>
      <c r="O118" s="163">
        <v>0.68083046000000003</v>
      </c>
      <c r="P118" s="163">
        <v>2.7</v>
      </c>
      <c r="Q118" s="164">
        <v>0.21307899999999999</v>
      </c>
    </row>
    <row r="119" spans="1:17" ht="15" x14ac:dyDescent="0.25">
      <c r="A119" s="156" t="s">
        <v>482</v>
      </c>
      <c r="B119" s="156" t="s">
        <v>488</v>
      </c>
      <c r="C119" s="156">
        <v>12443</v>
      </c>
      <c r="D119" s="156">
        <v>16046</v>
      </c>
      <c r="E119" s="156">
        <v>6547</v>
      </c>
      <c r="F119" s="156">
        <v>147</v>
      </c>
      <c r="G119" s="156">
        <v>8272</v>
      </c>
      <c r="H119" s="156">
        <v>2.4508899999999998</v>
      </c>
      <c r="I119" s="156">
        <v>1.95</v>
      </c>
      <c r="J119" s="156">
        <v>1.0895600000000001</v>
      </c>
      <c r="K119" s="156">
        <v>736.97400000000005</v>
      </c>
      <c r="L119" s="156">
        <v>0.101177</v>
      </c>
      <c r="M119" s="156">
        <v>0.442</v>
      </c>
      <c r="N119" s="156">
        <v>0.70704999999999996</v>
      </c>
      <c r="O119" s="156">
        <v>0.68083046000000003</v>
      </c>
      <c r="P119" s="156">
        <v>2.7</v>
      </c>
      <c r="Q119" s="159">
        <v>1.51176E-2</v>
      </c>
    </row>
    <row r="120" spans="1:17" ht="15" x14ac:dyDescent="0.25">
      <c r="A120" s="163" t="s">
        <v>482</v>
      </c>
      <c r="B120" s="163" t="s">
        <v>809</v>
      </c>
      <c r="C120" s="163">
        <v>20235</v>
      </c>
      <c r="D120" s="163">
        <v>68</v>
      </c>
      <c r="E120" s="163">
        <v>33</v>
      </c>
      <c r="F120" s="163">
        <v>0</v>
      </c>
      <c r="G120" s="163">
        <v>33</v>
      </c>
      <c r="H120" s="163">
        <v>2.0606100000000001</v>
      </c>
      <c r="I120" s="163">
        <v>1.95</v>
      </c>
      <c r="J120" s="163">
        <v>1.0895600000000001</v>
      </c>
      <c r="K120" s="163">
        <v>3.1231599999999999</v>
      </c>
      <c r="L120" s="163">
        <v>8.6458699999999999E-2</v>
      </c>
      <c r="M120" s="163">
        <v>0.442</v>
      </c>
      <c r="N120" s="163">
        <v>0.70704999999999996</v>
      </c>
      <c r="O120" s="163">
        <v>0.68083046000000003</v>
      </c>
      <c r="P120" s="163">
        <v>2.7</v>
      </c>
      <c r="Q120" s="164">
        <v>-0.21415300000000001</v>
      </c>
    </row>
    <row r="121" spans="1:17" ht="15" x14ac:dyDescent="0.25">
      <c r="A121" s="156" t="s">
        <v>482</v>
      </c>
      <c r="B121" s="156" t="s">
        <v>810</v>
      </c>
      <c r="C121" s="156">
        <v>13154</v>
      </c>
      <c r="D121" s="156">
        <v>54</v>
      </c>
      <c r="E121" s="156">
        <v>28</v>
      </c>
      <c r="F121" s="156">
        <v>0</v>
      </c>
      <c r="G121" s="156">
        <v>28</v>
      </c>
      <c r="H121" s="156">
        <v>1.9285699999999999</v>
      </c>
      <c r="I121" s="156">
        <v>1.95</v>
      </c>
      <c r="J121" s="156">
        <v>1.0895600000000001</v>
      </c>
      <c r="K121" s="156">
        <v>2.4801600000000001</v>
      </c>
      <c r="L121" s="156">
        <v>8.13696E-2</v>
      </c>
      <c r="M121" s="156">
        <v>0.442</v>
      </c>
      <c r="N121" s="156">
        <v>0.70704999999999996</v>
      </c>
      <c r="O121" s="156">
        <v>0.68083046000000003</v>
      </c>
      <c r="P121" s="156">
        <v>2.7</v>
      </c>
      <c r="Q121" s="159">
        <v>-0.24709800000000001</v>
      </c>
    </row>
    <row r="122" spans="1:17" ht="15" x14ac:dyDescent="0.25">
      <c r="A122" s="163" t="s">
        <v>482</v>
      </c>
      <c r="B122" s="163" t="s">
        <v>811</v>
      </c>
      <c r="C122" s="163">
        <v>13343</v>
      </c>
      <c r="D122" s="163">
        <v>325949</v>
      </c>
      <c r="E122" s="163">
        <v>139754</v>
      </c>
      <c r="F122" s="163">
        <v>4654</v>
      </c>
      <c r="G122" s="163">
        <v>170966</v>
      </c>
      <c r="H122" s="163">
        <v>2.3323100000000001</v>
      </c>
      <c r="I122" s="163">
        <v>1.95</v>
      </c>
      <c r="J122" s="163">
        <v>1.0682499999999999</v>
      </c>
      <c r="K122" s="163">
        <v>11408.6</v>
      </c>
      <c r="L122" s="163">
        <v>7.5472399999999995E-2</v>
      </c>
      <c r="M122" s="163">
        <v>0.442</v>
      </c>
      <c r="N122" s="163">
        <v>0.70704999999999996</v>
      </c>
      <c r="O122" s="163">
        <v>0.68083046000000003</v>
      </c>
      <c r="P122" s="163">
        <v>2.7</v>
      </c>
      <c r="Q122" s="164">
        <v>-0.23013800000000001</v>
      </c>
    </row>
    <row r="123" spans="1:17" ht="15" x14ac:dyDescent="0.25">
      <c r="A123" s="156" t="s">
        <v>482</v>
      </c>
      <c r="B123" s="156" t="s">
        <v>812</v>
      </c>
      <c r="C123" s="156">
        <v>11424</v>
      </c>
      <c r="D123" s="156">
        <v>115</v>
      </c>
      <c r="E123" s="156">
        <v>75</v>
      </c>
      <c r="F123" s="156">
        <v>0</v>
      </c>
      <c r="G123" s="156">
        <v>166</v>
      </c>
      <c r="H123" s="156">
        <v>1.5333300000000001</v>
      </c>
      <c r="I123" s="156">
        <v>1.95</v>
      </c>
      <c r="J123" s="156">
        <v>1.2071799999999999</v>
      </c>
      <c r="K123" s="156">
        <v>12.218500000000001</v>
      </c>
      <c r="L123" s="156">
        <v>0.14009099999999999</v>
      </c>
      <c r="M123" s="156">
        <v>0.442</v>
      </c>
      <c r="N123" s="156">
        <v>0.70704999999999996</v>
      </c>
      <c r="O123" s="156">
        <v>0.68083046000000003</v>
      </c>
      <c r="P123" s="156">
        <v>2.7</v>
      </c>
      <c r="Q123" s="159">
        <v>0.18889300000000001</v>
      </c>
    </row>
    <row r="124" spans="1:17" ht="15" x14ac:dyDescent="0.25">
      <c r="A124" s="163" t="s">
        <v>482</v>
      </c>
      <c r="B124" s="163" t="s">
        <v>486</v>
      </c>
      <c r="C124" s="163">
        <v>10963</v>
      </c>
      <c r="D124" s="163">
        <v>7505</v>
      </c>
      <c r="E124" s="163">
        <v>4200</v>
      </c>
      <c r="F124" s="163">
        <v>0</v>
      </c>
      <c r="G124" s="163">
        <v>9744</v>
      </c>
      <c r="H124" s="163">
        <v>1.7868999999999999</v>
      </c>
      <c r="I124" s="163">
        <v>1.95</v>
      </c>
      <c r="J124" s="163">
        <v>1.29088</v>
      </c>
      <c r="K124" s="163">
        <v>1119.51</v>
      </c>
      <c r="L124" s="163">
        <v>0.210454</v>
      </c>
      <c r="M124" s="163">
        <v>0.442</v>
      </c>
      <c r="N124" s="163">
        <v>0.70704999999999996</v>
      </c>
      <c r="O124" s="163">
        <v>0.68083046000000003</v>
      </c>
      <c r="P124" s="163">
        <v>2.7</v>
      </c>
      <c r="Q124" s="164">
        <v>0.17724999999999999</v>
      </c>
    </row>
    <row r="125" spans="1:17" ht="15" x14ac:dyDescent="0.25">
      <c r="A125" s="156" t="s">
        <v>491</v>
      </c>
      <c r="B125" s="156" t="s">
        <v>493</v>
      </c>
      <c r="C125" s="156">
        <v>1156</v>
      </c>
      <c r="D125" s="156">
        <v>14374</v>
      </c>
      <c r="E125" s="156">
        <v>8123</v>
      </c>
      <c r="F125" s="156">
        <v>309</v>
      </c>
      <c r="G125" s="156">
        <v>8867</v>
      </c>
      <c r="H125" s="156">
        <v>1.7695399999999999</v>
      </c>
      <c r="I125" s="156">
        <v>1.95</v>
      </c>
      <c r="J125" s="156">
        <v>1.01942</v>
      </c>
      <c r="K125" s="156">
        <v>143.15899999999999</v>
      </c>
      <c r="L125" s="156">
        <v>1.7318699999999999E-2</v>
      </c>
      <c r="M125" s="156">
        <v>0.56699999999999995</v>
      </c>
      <c r="N125" s="156">
        <v>0.77268000000000003</v>
      </c>
      <c r="O125" s="156">
        <v>0.61676391200000003</v>
      </c>
      <c r="P125" s="156">
        <v>2.2999999999999998</v>
      </c>
      <c r="Q125" s="159">
        <v>3.1753799999999999E-2</v>
      </c>
    </row>
    <row r="126" spans="1:17" ht="15" x14ac:dyDescent="0.25">
      <c r="A126" s="163" t="s">
        <v>491</v>
      </c>
      <c r="B126" s="163" t="s">
        <v>508</v>
      </c>
      <c r="C126" s="163">
        <v>8005</v>
      </c>
      <c r="D126" s="163">
        <v>708</v>
      </c>
      <c r="E126" s="163">
        <v>455</v>
      </c>
      <c r="F126" s="163">
        <v>0</v>
      </c>
      <c r="G126" s="163">
        <v>511</v>
      </c>
      <c r="H126" s="163">
        <v>1.5560400000000001</v>
      </c>
      <c r="I126" s="163">
        <v>1.95</v>
      </c>
      <c r="J126" s="163">
        <v>1.01261</v>
      </c>
      <c r="K126" s="163">
        <v>4.5797699999999999</v>
      </c>
      <c r="L126" s="163">
        <v>9.9650999999999993E-3</v>
      </c>
      <c r="M126" s="163">
        <v>0.56699999999999995</v>
      </c>
      <c r="N126" s="163">
        <v>0.77268000000000003</v>
      </c>
      <c r="O126" s="163">
        <v>0.61676391200000003</v>
      </c>
      <c r="P126" s="163">
        <v>2.2999999999999998</v>
      </c>
      <c r="Q126" s="164">
        <v>0.10650999999999999</v>
      </c>
    </row>
    <row r="127" spans="1:17" ht="15" x14ac:dyDescent="0.25">
      <c r="A127" s="156" t="s">
        <v>491</v>
      </c>
      <c r="B127" s="156" t="s">
        <v>512</v>
      </c>
      <c r="C127" s="156">
        <v>8339</v>
      </c>
      <c r="D127" s="156">
        <v>8031</v>
      </c>
      <c r="E127" s="156">
        <v>3968</v>
      </c>
      <c r="F127" s="156">
        <v>72</v>
      </c>
      <c r="G127" s="156">
        <v>4719</v>
      </c>
      <c r="H127" s="156">
        <v>2.0239400000000001</v>
      </c>
      <c r="I127" s="156">
        <v>1.95</v>
      </c>
      <c r="J127" s="156">
        <v>1.03182</v>
      </c>
      <c r="K127" s="156">
        <v>131.03299999999999</v>
      </c>
      <c r="L127" s="156">
        <v>3.1966799999999997E-2</v>
      </c>
      <c r="M127" s="156">
        <v>0.56699999999999995</v>
      </c>
      <c r="N127" s="156">
        <v>0.77268000000000003</v>
      </c>
      <c r="O127" s="156">
        <v>0.61676391200000003</v>
      </c>
      <c r="P127" s="156">
        <v>2.2999999999999998</v>
      </c>
      <c r="Q127" s="159">
        <v>0.21192900000000001</v>
      </c>
    </row>
    <row r="128" spans="1:17" ht="15" x14ac:dyDescent="0.25">
      <c r="A128" s="163" t="s">
        <v>491</v>
      </c>
      <c r="B128" s="163" t="s">
        <v>813</v>
      </c>
      <c r="C128" s="163">
        <v>10852</v>
      </c>
      <c r="D128" s="163">
        <v>958</v>
      </c>
      <c r="E128" s="163">
        <v>477</v>
      </c>
      <c r="F128" s="163">
        <v>0</v>
      </c>
      <c r="G128" s="163">
        <v>512</v>
      </c>
      <c r="H128" s="163">
        <v>2.0083899999999999</v>
      </c>
      <c r="I128" s="163">
        <v>1.95</v>
      </c>
      <c r="J128" s="163">
        <v>1.01261</v>
      </c>
      <c r="K128" s="163">
        <v>6.1969200000000004</v>
      </c>
      <c r="L128" s="163">
        <v>1.2824800000000001E-2</v>
      </c>
      <c r="M128" s="163">
        <v>0.56699999999999995</v>
      </c>
      <c r="N128" s="163">
        <v>0.77268000000000003</v>
      </c>
      <c r="O128" s="163">
        <v>0.61676391200000003</v>
      </c>
      <c r="P128" s="163">
        <v>2.2999999999999998</v>
      </c>
      <c r="Q128" s="164">
        <v>0.10650999999999999</v>
      </c>
    </row>
    <row r="129" spans="1:17" ht="15" x14ac:dyDescent="0.25">
      <c r="A129" s="156" t="s">
        <v>491</v>
      </c>
      <c r="B129" s="156" t="s">
        <v>814</v>
      </c>
      <c r="C129" s="156">
        <v>8139</v>
      </c>
      <c r="D129" s="156">
        <v>341</v>
      </c>
      <c r="E129" s="156">
        <v>167</v>
      </c>
      <c r="F129" s="156">
        <v>0</v>
      </c>
      <c r="G129" s="156">
        <v>177</v>
      </c>
      <c r="H129" s="156">
        <v>2.0419200000000002</v>
      </c>
      <c r="I129" s="156">
        <v>1.95</v>
      </c>
      <c r="J129" s="156">
        <v>1.01261</v>
      </c>
      <c r="K129" s="156">
        <v>2.2057899999999999</v>
      </c>
      <c r="L129" s="156">
        <v>1.30362E-2</v>
      </c>
      <c r="M129" s="156">
        <v>0.56699999999999995</v>
      </c>
      <c r="N129" s="156">
        <v>0.77268000000000003</v>
      </c>
      <c r="O129" s="156">
        <v>0.61676391200000003</v>
      </c>
      <c r="P129" s="156">
        <v>2.2999999999999998</v>
      </c>
      <c r="Q129" s="159">
        <v>0.10650999999999999</v>
      </c>
    </row>
    <row r="130" spans="1:17" ht="15" x14ac:dyDescent="0.25">
      <c r="A130" s="163" t="s">
        <v>491</v>
      </c>
      <c r="B130" s="163" t="s">
        <v>523</v>
      </c>
      <c r="C130" s="163">
        <v>20213</v>
      </c>
      <c r="D130" s="163">
        <v>332</v>
      </c>
      <c r="E130" s="163">
        <v>168</v>
      </c>
      <c r="F130" s="163">
        <v>0</v>
      </c>
      <c r="G130" s="163">
        <v>168</v>
      </c>
      <c r="H130" s="163">
        <v>1.9761899999999999</v>
      </c>
      <c r="I130" s="163">
        <v>1.95</v>
      </c>
      <c r="J130" s="163">
        <v>1.03182</v>
      </c>
      <c r="K130" s="163">
        <v>5.4168799999999999</v>
      </c>
      <c r="L130" s="163">
        <v>3.1236199999999999E-2</v>
      </c>
      <c r="M130" s="163">
        <v>0.56699999999999995</v>
      </c>
      <c r="N130" s="163">
        <v>0.77268000000000003</v>
      </c>
      <c r="O130" s="163">
        <v>0.61676391200000003</v>
      </c>
      <c r="P130" s="163">
        <v>2.2999999999999998</v>
      </c>
      <c r="Q130" s="164">
        <v>0.21192900000000001</v>
      </c>
    </row>
    <row r="131" spans="1:17" ht="15" x14ac:dyDescent="0.25">
      <c r="A131" s="156" t="s">
        <v>491</v>
      </c>
      <c r="B131" s="156" t="s">
        <v>498</v>
      </c>
      <c r="C131" s="156">
        <v>5731</v>
      </c>
      <c r="D131" s="156">
        <v>475</v>
      </c>
      <c r="E131" s="156">
        <v>296</v>
      </c>
      <c r="F131" s="156">
        <v>0</v>
      </c>
      <c r="G131" s="156">
        <v>347</v>
      </c>
      <c r="H131" s="156">
        <v>1.60473</v>
      </c>
      <c r="I131" s="156">
        <v>1.95</v>
      </c>
      <c r="J131" s="156">
        <v>1.0513999999999999</v>
      </c>
      <c r="K131" s="156">
        <v>12.519500000000001</v>
      </c>
      <c r="L131" s="156">
        <v>4.0579200000000003E-2</v>
      </c>
      <c r="M131" s="156">
        <v>0.56699999999999995</v>
      </c>
      <c r="N131" s="156">
        <v>0.77268000000000003</v>
      </c>
      <c r="O131" s="156">
        <v>0.61676391200000003</v>
      </c>
      <c r="P131" s="156">
        <v>2.2999999999999998</v>
      </c>
      <c r="Q131" s="159">
        <v>0.90788999999999997</v>
      </c>
    </row>
    <row r="132" spans="1:17" ht="15" x14ac:dyDescent="0.25">
      <c r="A132" s="163" t="s">
        <v>491</v>
      </c>
      <c r="B132" s="163" t="s">
        <v>815</v>
      </c>
      <c r="C132" s="163">
        <v>5746</v>
      </c>
      <c r="D132" s="163">
        <v>781</v>
      </c>
      <c r="E132" s="163">
        <v>365</v>
      </c>
      <c r="F132" s="163">
        <v>0</v>
      </c>
      <c r="G132" s="163">
        <v>395</v>
      </c>
      <c r="H132" s="163">
        <v>2.1397300000000001</v>
      </c>
      <c r="I132" s="163">
        <v>1.95</v>
      </c>
      <c r="J132" s="163">
        <v>1.01261</v>
      </c>
      <c r="K132" s="163">
        <v>5.0519800000000004</v>
      </c>
      <c r="L132" s="163">
        <v>1.36521E-2</v>
      </c>
      <c r="M132" s="163">
        <v>0.56699999999999995</v>
      </c>
      <c r="N132" s="163">
        <v>0.77268000000000003</v>
      </c>
      <c r="O132" s="163">
        <v>0.61676391200000003</v>
      </c>
      <c r="P132" s="163">
        <v>2.2999999999999998</v>
      </c>
      <c r="Q132" s="164">
        <v>0.10650999999999999</v>
      </c>
    </row>
    <row r="133" spans="1:17" ht="15" x14ac:dyDescent="0.25">
      <c r="A133" s="156" t="s">
        <v>491</v>
      </c>
      <c r="B133" s="156" t="s">
        <v>502</v>
      </c>
      <c r="C133" s="156">
        <v>6151</v>
      </c>
      <c r="D133" s="156">
        <v>44675</v>
      </c>
      <c r="E133" s="156">
        <v>20157</v>
      </c>
      <c r="F133" s="156">
        <v>274</v>
      </c>
      <c r="G133" s="156">
        <v>22024</v>
      </c>
      <c r="H133" s="156">
        <v>2.2163499999999998</v>
      </c>
      <c r="I133" s="156">
        <v>1.95</v>
      </c>
      <c r="J133" s="156">
        <v>1.0108900000000001</v>
      </c>
      <c r="K133" s="156">
        <v>249.422</v>
      </c>
      <c r="L133" s="156">
        <v>1.22227E-2</v>
      </c>
      <c r="M133" s="156">
        <v>0.56699999999999995</v>
      </c>
      <c r="N133" s="156">
        <v>0.77268000000000003</v>
      </c>
      <c r="O133" s="156">
        <v>0.61676391200000003</v>
      </c>
      <c r="P133" s="156">
        <v>2.2999999999999998</v>
      </c>
      <c r="Q133" s="159">
        <v>-0.48288599999999998</v>
      </c>
    </row>
    <row r="134" spans="1:17" ht="15" x14ac:dyDescent="0.25">
      <c r="A134" s="163" t="s">
        <v>491</v>
      </c>
      <c r="B134" s="163" t="s">
        <v>510</v>
      </c>
      <c r="C134" s="163">
        <v>8020</v>
      </c>
      <c r="D134" s="163">
        <v>1436</v>
      </c>
      <c r="E134" s="163">
        <v>751</v>
      </c>
      <c r="F134" s="163">
        <v>0</v>
      </c>
      <c r="G134" s="163">
        <v>778</v>
      </c>
      <c r="H134" s="163">
        <v>1.91212</v>
      </c>
      <c r="I134" s="163">
        <v>1.95</v>
      </c>
      <c r="J134" s="163">
        <v>1</v>
      </c>
      <c r="K134" s="163">
        <v>0</v>
      </c>
      <c r="L134" s="163">
        <v>0</v>
      </c>
      <c r="M134" s="163">
        <v>0.56699999999999995</v>
      </c>
      <c r="N134" s="163">
        <v>0.77268000000000003</v>
      </c>
      <c r="O134" s="163">
        <v>0.61676391200000003</v>
      </c>
      <c r="P134" s="163">
        <v>2.2999999999999998</v>
      </c>
      <c r="Q134" s="164">
        <v>-0.30264799999999997</v>
      </c>
    </row>
    <row r="135" spans="1:17" ht="15" x14ac:dyDescent="0.25">
      <c r="A135" s="156" t="s">
        <v>491</v>
      </c>
      <c r="B135" s="156" t="s">
        <v>495</v>
      </c>
      <c r="C135" s="156">
        <v>2999</v>
      </c>
      <c r="D135" s="156">
        <v>1167</v>
      </c>
      <c r="E135" s="156">
        <v>556</v>
      </c>
      <c r="F135" s="156">
        <v>0</v>
      </c>
      <c r="G135" s="156">
        <v>611</v>
      </c>
      <c r="H135" s="156">
        <v>2.0989200000000001</v>
      </c>
      <c r="I135" s="156">
        <v>1.95</v>
      </c>
      <c r="J135" s="156">
        <v>1.0123200000000001</v>
      </c>
      <c r="K135" s="156">
        <v>7.3708600000000004</v>
      </c>
      <c r="L135" s="156">
        <v>1.30835E-2</v>
      </c>
      <c r="M135" s="156">
        <v>0.56699999999999995</v>
      </c>
      <c r="N135" s="156">
        <v>0.77268000000000003</v>
      </c>
      <c r="O135" s="156">
        <v>0.61676391200000003</v>
      </c>
      <c r="P135" s="156">
        <v>2.2999999999999998</v>
      </c>
      <c r="Q135" s="159">
        <v>-0.41318199999999999</v>
      </c>
    </row>
    <row r="136" spans="1:17" ht="15" x14ac:dyDescent="0.25">
      <c r="A136" s="163" t="s">
        <v>491</v>
      </c>
      <c r="B136" s="163" t="s">
        <v>495</v>
      </c>
      <c r="C136" s="163">
        <v>6574</v>
      </c>
      <c r="D136" s="163">
        <v>306</v>
      </c>
      <c r="E136" s="163">
        <v>156</v>
      </c>
      <c r="F136" s="163">
        <v>0</v>
      </c>
      <c r="G136" s="163">
        <v>158</v>
      </c>
      <c r="H136" s="163">
        <v>1.9615400000000001</v>
      </c>
      <c r="I136" s="163">
        <v>1.95</v>
      </c>
      <c r="J136" s="163">
        <v>1.01261</v>
      </c>
      <c r="K136" s="163">
        <v>1.97939</v>
      </c>
      <c r="L136" s="163">
        <v>1.25294E-2</v>
      </c>
      <c r="M136" s="163">
        <v>0.56699999999999995</v>
      </c>
      <c r="N136" s="163">
        <v>0.77268000000000003</v>
      </c>
      <c r="O136" s="163">
        <v>0.61676391200000003</v>
      </c>
      <c r="P136" s="163">
        <v>2.2999999999999998</v>
      </c>
      <c r="Q136" s="164">
        <v>0.10650999999999999</v>
      </c>
    </row>
    <row r="137" spans="1:17" ht="15" x14ac:dyDescent="0.25">
      <c r="A137" s="156" t="s">
        <v>491</v>
      </c>
      <c r="B137" s="156" t="s">
        <v>495</v>
      </c>
      <c r="C137" s="156">
        <v>6884</v>
      </c>
      <c r="D137" s="156">
        <v>806</v>
      </c>
      <c r="E137" s="156">
        <v>397</v>
      </c>
      <c r="F137" s="156">
        <v>0</v>
      </c>
      <c r="G137" s="156">
        <v>428</v>
      </c>
      <c r="H137" s="156">
        <v>2.03023</v>
      </c>
      <c r="I137" s="156">
        <v>1.95</v>
      </c>
      <c r="J137" s="156">
        <v>1.01261</v>
      </c>
      <c r="K137" s="156">
        <v>5.2136899999999997</v>
      </c>
      <c r="L137" s="156">
        <v>1.29625E-2</v>
      </c>
      <c r="M137" s="156">
        <v>0.56699999999999995</v>
      </c>
      <c r="N137" s="156">
        <v>0.77268000000000003</v>
      </c>
      <c r="O137" s="156">
        <v>0.61676391200000003</v>
      </c>
      <c r="P137" s="156">
        <v>2.2999999999999998</v>
      </c>
      <c r="Q137" s="159">
        <v>0.10650999999999999</v>
      </c>
    </row>
    <row r="138" spans="1:17" ht="15" x14ac:dyDescent="0.25">
      <c r="A138" s="163" t="s">
        <v>491</v>
      </c>
      <c r="B138" s="163" t="s">
        <v>495</v>
      </c>
      <c r="C138" s="163">
        <v>7849</v>
      </c>
      <c r="D138" s="163">
        <v>2037</v>
      </c>
      <c r="E138" s="163">
        <v>912</v>
      </c>
      <c r="F138" s="163">
        <v>0</v>
      </c>
      <c r="G138" s="163">
        <v>951</v>
      </c>
      <c r="H138" s="163">
        <v>2.2335500000000001</v>
      </c>
      <c r="I138" s="163">
        <v>1.95</v>
      </c>
      <c r="J138" s="163">
        <v>1.0008999999999999</v>
      </c>
      <c r="K138" s="163">
        <v>0.94167999999999996</v>
      </c>
      <c r="L138" s="163">
        <v>1.0315000000000001E-3</v>
      </c>
      <c r="M138" s="163">
        <v>0.56699999999999995</v>
      </c>
      <c r="N138" s="163">
        <v>0.77268000000000003</v>
      </c>
      <c r="O138" s="163">
        <v>0.61676391200000003</v>
      </c>
      <c r="P138" s="163">
        <v>2.2999999999999998</v>
      </c>
      <c r="Q138" s="164">
        <v>-0.28263700000000003</v>
      </c>
    </row>
    <row r="139" spans="1:17" ht="15" x14ac:dyDescent="0.25">
      <c r="A139" s="156" t="s">
        <v>491</v>
      </c>
      <c r="B139" s="156" t="s">
        <v>495</v>
      </c>
      <c r="C139" s="156">
        <v>8481</v>
      </c>
      <c r="D139" s="156">
        <v>9642</v>
      </c>
      <c r="E139" s="156">
        <v>3827</v>
      </c>
      <c r="F139" s="156">
        <v>0</v>
      </c>
      <c r="G139" s="156">
        <v>4003</v>
      </c>
      <c r="H139" s="156">
        <v>2.5194700000000001</v>
      </c>
      <c r="I139" s="156">
        <v>1.95</v>
      </c>
      <c r="J139" s="156">
        <v>1.0001599999999999</v>
      </c>
      <c r="K139" s="156">
        <v>0.81460999999999995</v>
      </c>
      <c r="L139" s="156">
        <v>2.128E-4</v>
      </c>
      <c r="M139" s="156">
        <v>0.56699999999999995</v>
      </c>
      <c r="N139" s="156">
        <v>0.77268000000000003</v>
      </c>
      <c r="O139" s="156">
        <v>0.61676391200000003</v>
      </c>
      <c r="P139" s="156">
        <v>2.2999999999999998</v>
      </c>
      <c r="Q139" s="159">
        <v>-0.360041</v>
      </c>
    </row>
    <row r="140" spans="1:17" ht="15" x14ac:dyDescent="0.25">
      <c r="A140" s="163" t="s">
        <v>491</v>
      </c>
      <c r="B140" s="163" t="s">
        <v>816</v>
      </c>
      <c r="C140" s="163">
        <v>11523</v>
      </c>
      <c r="D140" s="163">
        <v>162</v>
      </c>
      <c r="E140" s="163">
        <v>76</v>
      </c>
      <c r="F140" s="163">
        <v>0</v>
      </c>
      <c r="G140" s="163">
        <v>76</v>
      </c>
      <c r="H140" s="163">
        <v>2.13158</v>
      </c>
      <c r="I140" s="163">
        <v>1.95</v>
      </c>
      <c r="J140" s="163">
        <v>1.01261</v>
      </c>
      <c r="K140" s="163">
        <v>1.0479099999999999</v>
      </c>
      <c r="L140" s="163">
        <v>1.36008E-2</v>
      </c>
      <c r="M140" s="163">
        <v>0.56699999999999995</v>
      </c>
      <c r="N140" s="163">
        <v>0.77268000000000003</v>
      </c>
      <c r="O140" s="163">
        <v>0.61676391200000003</v>
      </c>
      <c r="P140" s="163">
        <v>2.2999999999999998</v>
      </c>
      <c r="Q140" s="164">
        <v>0.90788999999999997</v>
      </c>
    </row>
    <row r="141" spans="1:17" ht="15" x14ac:dyDescent="0.25">
      <c r="A141" s="156" t="s">
        <v>491</v>
      </c>
      <c r="B141" s="156" t="s">
        <v>817</v>
      </c>
      <c r="C141" s="156">
        <v>10083</v>
      </c>
      <c r="D141" s="156">
        <v>198</v>
      </c>
      <c r="E141" s="156">
        <v>67</v>
      </c>
      <c r="F141" s="156">
        <v>0</v>
      </c>
      <c r="G141" s="156">
        <v>67</v>
      </c>
      <c r="H141" s="156">
        <v>2.9552200000000002</v>
      </c>
      <c r="I141" s="156">
        <v>1.95</v>
      </c>
      <c r="J141" s="156">
        <v>1.0242899999999999</v>
      </c>
      <c r="K141" s="156">
        <v>2.4660500000000001</v>
      </c>
      <c r="L141" s="156">
        <v>3.55001E-2</v>
      </c>
      <c r="M141" s="156">
        <v>0.56699999999999995</v>
      </c>
      <c r="N141" s="156">
        <v>0.77268000000000003</v>
      </c>
      <c r="O141" s="156">
        <v>0.61676391200000003</v>
      </c>
      <c r="P141" s="156">
        <v>2.2999999999999998</v>
      </c>
      <c r="Q141" s="159">
        <v>-0.514984</v>
      </c>
    </row>
    <row r="142" spans="1:17" ht="15" x14ac:dyDescent="0.25">
      <c r="A142" s="163" t="s">
        <v>491</v>
      </c>
      <c r="B142" s="163" t="s">
        <v>519</v>
      </c>
      <c r="C142" s="163">
        <v>20098</v>
      </c>
      <c r="D142" s="163">
        <v>70</v>
      </c>
      <c r="E142" s="163">
        <v>36</v>
      </c>
      <c r="F142" s="163">
        <v>0</v>
      </c>
      <c r="G142" s="163">
        <v>40</v>
      </c>
      <c r="H142" s="163">
        <v>1.9444399999999999</v>
      </c>
      <c r="I142" s="163">
        <v>1.95</v>
      </c>
      <c r="J142" s="163">
        <v>1.03182</v>
      </c>
      <c r="K142" s="163">
        <v>1.14211</v>
      </c>
      <c r="L142" s="163">
        <v>3.0749800000000001E-2</v>
      </c>
      <c r="M142" s="163">
        <v>0.56699999999999995</v>
      </c>
      <c r="N142" s="163">
        <v>0.77268000000000003</v>
      </c>
      <c r="O142" s="163">
        <v>0.61676391200000003</v>
      </c>
      <c r="P142" s="163">
        <v>2.2999999999999998</v>
      </c>
      <c r="Q142" s="164">
        <v>0.21192900000000001</v>
      </c>
    </row>
    <row r="143" spans="1:17" ht="15" x14ac:dyDescent="0.25">
      <c r="A143" s="156" t="s">
        <v>491</v>
      </c>
      <c r="B143" s="156" t="s">
        <v>517</v>
      </c>
      <c r="C143" s="156">
        <v>10966</v>
      </c>
      <c r="D143" s="156">
        <v>520</v>
      </c>
      <c r="E143" s="156">
        <v>229</v>
      </c>
      <c r="F143" s="156">
        <v>0</v>
      </c>
      <c r="G143" s="156">
        <v>314</v>
      </c>
      <c r="H143" s="156">
        <v>2.27074</v>
      </c>
      <c r="I143" s="156">
        <v>1.95</v>
      </c>
      <c r="J143" s="156">
        <v>1.04013</v>
      </c>
      <c r="K143" s="156">
        <v>10.702500000000001</v>
      </c>
      <c r="L143" s="156">
        <v>4.4648899999999998E-2</v>
      </c>
      <c r="M143" s="156">
        <v>0.56699999999999995</v>
      </c>
      <c r="N143" s="156">
        <v>0.77268000000000003</v>
      </c>
      <c r="O143" s="156">
        <v>0.61676391200000003</v>
      </c>
      <c r="P143" s="156">
        <v>2.2999999999999998</v>
      </c>
      <c r="Q143" s="159">
        <v>0</v>
      </c>
    </row>
    <row r="144" spans="1:17" ht="15" x14ac:dyDescent="0.25">
      <c r="A144" s="163" t="s">
        <v>491</v>
      </c>
      <c r="B144" s="163" t="s">
        <v>505</v>
      </c>
      <c r="C144" s="163">
        <v>6792</v>
      </c>
      <c r="D144" s="163">
        <v>679</v>
      </c>
      <c r="E144" s="163">
        <v>427</v>
      </c>
      <c r="F144" s="163">
        <v>0</v>
      </c>
      <c r="G144" s="163">
        <v>475</v>
      </c>
      <c r="H144" s="163">
        <v>1.59016</v>
      </c>
      <c r="I144" s="163">
        <v>1.95</v>
      </c>
      <c r="J144" s="163">
        <v>1.01261</v>
      </c>
      <c r="K144" s="163">
        <v>4.3921799999999998</v>
      </c>
      <c r="L144" s="163">
        <v>1.01814E-2</v>
      </c>
      <c r="M144" s="163">
        <v>0.56699999999999995</v>
      </c>
      <c r="N144" s="163">
        <v>0.77268000000000003</v>
      </c>
      <c r="O144" s="163">
        <v>0.61676391200000003</v>
      </c>
      <c r="P144" s="163">
        <v>2.2999999999999998</v>
      </c>
      <c r="Q144" s="164">
        <v>0.10650999999999999</v>
      </c>
    </row>
    <row r="145" spans="1:17" ht="15" x14ac:dyDescent="0.25">
      <c r="A145" s="156" t="s">
        <v>491</v>
      </c>
      <c r="B145" s="156" t="s">
        <v>515</v>
      </c>
      <c r="C145" s="156">
        <v>9425</v>
      </c>
      <c r="D145" s="156">
        <v>328</v>
      </c>
      <c r="E145" s="156">
        <v>198</v>
      </c>
      <c r="F145" s="156">
        <v>0</v>
      </c>
      <c r="G145" s="156">
        <v>213</v>
      </c>
      <c r="H145" s="156">
        <v>1.6565700000000001</v>
      </c>
      <c r="I145" s="156">
        <v>1.95</v>
      </c>
      <c r="J145" s="156">
        <v>1.0478799999999999</v>
      </c>
      <c r="K145" s="156">
        <v>8.0542700000000007</v>
      </c>
      <c r="L145" s="156">
        <v>3.9088100000000001E-2</v>
      </c>
      <c r="M145" s="156">
        <v>0.56699999999999995</v>
      </c>
      <c r="N145" s="156">
        <v>0.77268000000000003</v>
      </c>
      <c r="O145" s="156">
        <v>0.61676391200000003</v>
      </c>
      <c r="P145" s="156">
        <v>2.2999999999999998</v>
      </c>
      <c r="Q145" s="159">
        <v>-0.49909300000000001</v>
      </c>
    </row>
    <row r="146" spans="1:17" ht="15" x14ac:dyDescent="0.25">
      <c r="A146" s="163" t="s">
        <v>491</v>
      </c>
      <c r="B146" s="163" t="s">
        <v>452</v>
      </c>
      <c r="C146" s="163">
        <v>5643</v>
      </c>
      <c r="D146" s="163">
        <v>1003</v>
      </c>
      <c r="E146" s="163">
        <v>506</v>
      </c>
      <c r="F146" s="163">
        <v>0</v>
      </c>
      <c r="G146" s="163">
        <v>605</v>
      </c>
      <c r="H146" s="163">
        <v>1.98221</v>
      </c>
      <c r="I146" s="163">
        <v>1.95</v>
      </c>
      <c r="J146" s="163">
        <v>1.0513999999999999</v>
      </c>
      <c r="K146" s="163">
        <v>26.4359</v>
      </c>
      <c r="L146" s="163">
        <v>4.9650800000000002E-2</v>
      </c>
      <c r="M146" s="163">
        <v>0.56699999999999995</v>
      </c>
      <c r="N146" s="163">
        <v>0.77268000000000003</v>
      </c>
      <c r="O146" s="163">
        <v>0.61676391200000003</v>
      </c>
      <c r="P146" s="163">
        <v>2.2999999999999998</v>
      </c>
      <c r="Q146" s="164">
        <v>-0.54917400000000005</v>
      </c>
    </row>
    <row r="147" spans="1:17" ht="15" x14ac:dyDescent="0.25">
      <c r="A147" s="156" t="s">
        <v>521</v>
      </c>
      <c r="B147" s="156" t="s">
        <v>579</v>
      </c>
      <c r="C147" s="156">
        <v>99906</v>
      </c>
      <c r="D147" s="156">
        <v>639</v>
      </c>
      <c r="E147" s="156">
        <v>331</v>
      </c>
      <c r="F147" s="156">
        <v>0</v>
      </c>
      <c r="G147" s="156">
        <v>409</v>
      </c>
      <c r="H147" s="156">
        <v>1.9305099999999999</v>
      </c>
      <c r="I147" s="156">
        <v>1.95</v>
      </c>
      <c r="J147" s="156">
        <v>1.41842</v>
      </c>
      <c r="K147" s="156">
        <v>137.113</v>
      </c>
      <c r="L147" s="156">
        <v>0.29290500000000003</v>
      </c>
      <c r="M147" s="156">
        <v>0.56699999999999995</v>
      </c>
      <c r="N147" s="156">
        <v>0.77268000000000003</v>
      </c>
      <c r="O147" s="156">
        <v>0.63540872599999998</v>
      </c>
      <c r="P147" s="156">
        <v>2.2999999999999998</v>
      </c>
      <c r="Q147" s="159">
        <v>-0.58536600000000005</v>
      </c>
    </row>
    <row r="148" spans="1:17" ht="15" x14ac:dyDescent="0.25">
      <c r="A148" s="163" t="s">
        <v>521</v>
      </c>
      <c r="B148" s="163" t="s">
        <v>818</v>
      </c>
      <c r="C148" s="163">
        <v>11473</v>
      </c>
      <c r="D148" s="163">
        <v>800</v>
      </c>
      <c r="E148" s="163">
        <v>335</v>
      </c>
      <c r="F148" s="163">
        <v>0</v>
      </c>
      <c r="G148" s="163">
        <v>362</v>
      </c>
      <c r="H148" s="163">
        <v>2.3880599999999998</v>
      </c>
      <c r="I148" s="163">
        <v>1.95</v>
      </c>
      <c r="J148" s="163">
        <v>1.3833899999999999</v>
      </c>
      <c r="K148" s="163">
        <v>157.29</v>
      </c>
      <c r="L148" s="163">
        <v>0.31950699999999999</v>
      </c>
      <c r="M148" s="163">
        <v>0.56699999999999995</v>
      </c>
      <c r="N148" s="163">
        <v>0.77268000000000003</v>
      </c>
      <c r="O148" s="163">
        <v>0.63540872599999998</v>
      </c>
      <c r="P148" s="163">
        <v>2.2999999999999998</v>
      </c>
      <c r="Q148" s="164">
        <v>-0.44758999999999999</v>
      </c>
    </row>
    <row r="149" spans="1:17" ht="15" x14ac:dyDescent="0.25">
      <c r="A149" s="156" t="s">
        <v>521</v>
      </c>
      <c r="B149" s="156" t="s">
        <v>819</v>
      </c>
      <c r="C149" s="156">
        <v>3302</v>
      </c>
      <c r="D149" s="156">
        <v>903</v>
      </c>
      <c r="E149" s="156">
        <v>377</v>
      </c>
      <c r="F149" s="156">
        <v>19</v>
      </c>
      <c r="G149" s="156">
        <v>521</v>
      </c>
      <c r="H149" s="156">
        <v>2.3952300000000002</v>
      </c>
      <c r="I149" s="156">
        <v>1.95</v>
      </c>
      <c r="J149" s="156">
        <v>1.2678100000000001</v>
      </c>
      <c r="K149" s="156">
        <v>124.018</v>
      </c>
      <c r="L149" s="156">
        <v>0.247532</v>
      </c>
      <c r="M149" s="156">
        <v>0.56699999999999995</v>
      </c>
      <c r="N149" s="156">
        <v>0.77268000000000003</v>
      </c>
      <c r="O149" s="156">
        <v>0.63540872599999998</v>
      </c>
      <c r="P149" s="156">
        <v>2.2999999999999998</v>
      </c>
      <c r="Q149" s="159">
        <v>-0.67594399999999999</v>
      </c>
    </row>
    <row r="150" spans="1:17" ht="15" x14ac:dyDescent="0.25">
      <c r="A150" s="163" t="s">
        <v>521</v>
      </c>
      <c r="B150" s="163" t="s">
        <v>532</v>
      </c>
      <c r="C150" s="163">
        <v>964</v>
      </c>
      <c r="D150" s="163">
        <v>1229</v>
      </c>
      <c r="E150" s="163">
        <v>446</v>
      </c>
      <c r="F150" s="163">
        <v>0</v>
      </c>
      <c r="G150" s="163">
        <v>519</v>
      </c>
      <c r="H150" s="163">
        <v>2.7556099999999999</v>
      </c>
      <c r="I150" s="163">
        <v>1.95</v>
      </c>
      <c r="J150" s="163">
        <v>1.2678100000000001</v>
      </c>
      <c r="K150" s="163">
        <v>168.791</v>
      </c>
      <c r="L150" s="163">
        <v>0.27455000000000002</v>
      </c>
      <c r="M150" s="163">
        <v>0.56699999999999995</v>
      </c>
      <c r="N150" s="163">
        <v>0.77268000000000003</v>
      </c>
      <c r="O150" s="163">
        <v>0.63540872599999998</v>
      </c>
      <c r="P150" s="163">
        <v>2.2999999999999998</v>
      </c>
      <c r="Q150" s="164">
        <v>-0.140843</v>
      </c>
    </row>
    <row r="151" spans="1:17" ht="15" x14ac:dyDescent="0.25">
      <c r="A151" s="156" t="s">
        <v>521</v>
      </c>
      <c r="B151" s="156" t="s">
        <v>566</v>
      </c>
      <c r="C151" s="156">
        <v>7588</v>
      </c>
      <c r="D151" s="156">
        <v>738</v>
      </c>
      <c r="E151" s="156">
        <v>464</v>
      </c>
      <c r="F151" s="156">
        <v>0</v>
      </c>
      <c r="G151" s="156">
        <v>687</v>
      </c>
      <c r="H151" s="156">
        <v>1.5905199999999999</v>
      </c>
      <c r="I151" s="156">
        <v>1.95</v>
      </c>
      <c r="J151" s="156">
        <v>1.3102799999999999</v>
      </c>
      <c r="K151" s="156">
        <v>117.43</v>
      </c>
      <c r="L151" s="156">
        <v>0.20196800000000001</v>
      </c>
      <c r="M151" s="156">
        <v>0.56699999999999995</v>
      </c>
      <c r="N151" s="156">
        <v>0.77268000000000003</v>
      </c>
      <c r="O151" s="156">
        <v>0.63540872599999998</v>
      </c>
      <c r="P151" s="156">
        <v>2.2999999999999998</v>
      </c>
      <c r="Q151" s="159">
        <v>-0.48243799999999998</v>
      </c>
    </row>
    <row r="152" spans="1:17" ht="15" x14ac:dyDescent="0.25">
      <c r="A152" s="163" t="s">
        <v>521</v>
      </c>
      <c r="B152" s="163" t="s">
        <v>534</v>
      </c>
      <c r="C152" s="163">
        <v>1631</v>
      </c>
      <c r="D152" s="163">
        <v>18944</v>
      </c>
      <c r="E152" s="163">
        <v>7305</v>
      </c>
      <c r="F152" s="163">
        <v>364</v>
      </c>
      <c r="G152" s="163">
        <v>8383</v>
      </c>
      <c r="H152" s="163">
        <v>2.5932900000000001</v>
      </c>
      <c r="I152" s="163">
        <v>1.95</v>
      </c>
      <c r="J152" s="163">
        <v>1.06986</v>
      </c>
      <c r="K152" s="163">
        <v>678.71400000000006</v>
      </c>
      <c r="L152" s="163">
        <v>8.5012400000000002E-2</v>
      </c>
      <c r="M152" s="163">
        <v>0.56699999999999995</v>
      </c>
      <c r="N152" s="163">
        <v>0.77268000000000003</v>
      </c>
      <c r="O152" s="163">
        <v>0.63540872599999998</v>
      </c>
      <c r="P152" s="163">
        <v>2.2999999999999998</v>
      </c>
      <c r="Q152" s="164">
        <v>0.20336000000000001</v>
      </c>
    </row>
    <row r="153" spans="1:17" ht="15" x14ac:dyDescent="0.25">
      <c r="A153" s="156" t="s">
        <v>521</v>
      </c>
      <c r="B153" s="156" t="s">
        <v>554</v>
      </c>
      <c r="C153" s="156">
        <v>4734</v>
      </c>
      <c r="D153" s="156">
        <v>38668</v>
      </c>
      <c r="E153" s="156">
        <v>18476</v>
      </c>
      <c r="F153" s="156">
        <v>951</v>
      </c>
      <c r="G153" s="156">
        <v>21234</v>
      </c>
      <c r="H153" s="156">
        <v>2.0928800000000001</v>
      </c>
      <c r="I153" s="156">
        <v>1.95</v>
      </c>
      <c r="J153" s="156">
        <v>1.0649599999999999</v>
      </c>
      <c r="K153" s="156">
        <v>1288.1099999999999</v>
      </c>
      <c r="L153" s="156">
        <v>6.5174099999999999E-2</v>
      </c>
      <c r="M153" s="156">
        <v>0.56699999999999995</v>
      </c>
      <c r="N153" s="156">
        <v>0.77268000000000003</v>
      </c>
      <c r="O153" s="156">
        <v>0.63540872599999998</v>
      </c>
      <c r="P153" s="156">
        <v>2.2999999999999998</v>
      </c>
      <c r="Q153" s="159">
        <v>0.163073</v>
      </c>
    </row>
    <row r="154" spans="1:17" ht="15" x14ac:dyDescent="0.25">
      <c r="A154" s="163" t="s">
        <v>521</v>
      </c>
      <c r="B154" s="163" t="s">
        <v>545</v>
      </c>
      <c r="C154" s="163">
        <v>3692</v>
      </c>
      <c r="D154" s="163">
        <v>9572</v>
      </c>
      <c r="E154" s="163">
        <v>4658</v>
      </c>
      <c r="F154" s="163">
        <v>273</v>
      </c>
      <c r="G154" s="163">
        <v>6205</v>
      </c>
      <c r="H154" s="163">
        <v>2.0549599999999999</v>
      </c>
      <c r="I154" s="163">
        <v>1.95</v>
      </c>
      <c r="J154" s="163">
        <v>1.07192</v>
      </c>
      <c r="K154" s="163">
        <v>353.04899999999998</v>
      </c>
      <c r="L154" s="163">
        <v>7.0454000000000003E-2</v>
      </c>
      <c r="M154" s="163">
        <v>0.56699999999999995</v>
      </c>
      <c r="N154" s="163">
        <v>0.77268000000000003</v>
      </c>
      <c r="O154" s="163">
        <v>0.63540872599999998</v>
      </c>
      <c r="P154" s="163">
        <v>2.2999999999999998</v>
      </c>
      <c r="Q154" s="164">
        <v>0.65345200000000003</v>
      </c>
    </row>
    <row r="155" spans="1:17" ht="15" x14ac:dyDescent="0.25">
      <c r="A155" s="156" t="s">
        <v>521</v>
      </c>
      <c r="B155" s="156" t="s">
        <v>549</v>
      </c>
      <c r="C155" s="156">
        <v>4550</v>
      </c>
      <c r="D155" s="156">
        <v>1862</v>
      </c>
      <c r="E155" s="156">
        <v>753</v>
      </c>
      <c r="F155" s="156">
        <v>21</v>
      </c>
      <c r="G155" s="156">
        <v>817</v>
      </c>
      <c r="H155" s="156">
        <v>2.4727800000000002</v>
      </c>
      <c r="I155" s="156">
        <v>1.95</v>
      </c>
      <c r="J155" s="156">
        <v>1.1332199999999999</v>
      </c>
      <c r="K155" s="156">
        <v>127.209</v>
      </c>
      <c r="L155" s="156">
        <v>0.14452200000000001</v>
      </c>
      <c r="M155" s="156">
        <v>0.56699999999999995</v>
      </c>
      <c r="N155" s="156">
        <v>0.77268000000000003</v>
      </c>
      <c r="O155" s="156">
        <v>0.63540872599999998</v>
      </c>
      <c r="P155" s="156">
        <v>2.2999999999999998</v>
      </c>
      <c r="Q155" s="159">
        <v>2.5097600000000001E-2</v>
      </c>
    </row>
    <row r="156" spans="1:17" ht="15" x14ac:dyDescent="0.25">
      <c r="A156" s="163" t="s">
        <v>521</v>
      </c>
      <c r="B156" s="163" t="s">
        <v>558</v>
      </c>
      <c r="C156" s="163">
        <v>6040</v>
      </c>
      <c r="D156" s="163">
        <v>33348</v>
      </c>
      <c r="E156" s="163">
        <v>15265</v>
      </c>
      <c r="F156" s="163">
        <v>472</v>
      </c>
      <c r="G156" s="163">
        <v>18656</v>
      </c>
      <c r="H156" s="163">
        <v>2.1846100000000002</v>
      </c>
      <c r="I156" s="163">
        <v>1.95</v>
      </c>
      <c r="J156" s="163">
        <v>1.2976399999999999</v>
      </c>
      <c r="K156" s="163">
        <v>5090.07</v>
      </c>
      <c r="L156" s="163">
        <v>0.25006400000000001</v>
      </c>
      <c r="M156" s="163">
        <v>0.56699999999999995</v>
      </c>
      <c r="N156" s="163">
        <v>0.77268000000000003</v>
      </c>
      <c r="O156" s="163">
        <v>0.63540872599999998</v>
      </c>
      <c r="P156" s="163">
        <v>2.2999999999999998</v>
      </c>
      <c r="Q156" s="164">
        <v>-1.4525700000000001E-2</v>
      </c>
    </row>
    <row r="157" spans="1:17" ht="15" x14ac:dyDescent="0.25">
      <c r="A157" s="156" t="s">
        <v>521</v>
      </c>
      <c r="B157" s="156" t="s">
        <v>542</v>
      </c>
      <c r="C157" s="156">
        <v>3619</v>
      </c>
      <c r="D157" s="156">
        <v>271</v>
      </c>
      <c r="E157" s="156">
        <v>149</v>
      </c>
      <c r="F157" s="156">
        <v>0</v>
      </c>
      <c r="G157" s="156">
        <v>218</v>
      </c>
      <c r="H157" s="156">
        <v>1.8187899999999999</v>
      </c>
      <c r="I157" s="156">
        <v>1.95</v>
      </c>
      <c r="J157" s="156">
        <v>1.06986</v>
      </c>
      <c r="K157" s="156">
        <v>9.7092299999999998</v>
      </c>
      <c r="L157" s="156">
        <v>6.11762E-2</v>
      </c>
      <c r="M157" s="156">
        <v>0.56699999999999995</v>
      </c>
      <c r="N157" s="156">
        <v>0.77268000000000003</v>
      </c>
      <c r="O157" s="156">
        <v>0.63540872599999998</v>
      </c>
      <c r="P157" s="156">
        <v>2.2999999999999998</v>
      </c>
      <c r="Q157" s="159">
        <v>-0.105003</v>
      </c>
    </row>
    <row r="158" spans="1:17" ht="15" x14ac:dyDescent="0.25">
      <c r="A158" s="163" t="s">
        <v>521</v>
      </c>
      <c r="B158" s="163" t="s">
        <v>820</v>
      </c>
      <c r="C158" s="163">
        <v>2567</v>
      </c>
      <c r="D158" s="163">
        <v>927</v>
      </c>
      <c r="E158" s="163">
        <v>399</v>
      </c>
      <c r="F158" s="163">
        <v>0</v>
      </c>
      <c r="G158" s="163">
        <v>491</v>
      </c>
      <c r="H158" s="163">
        <v>2.3233100000000002</v>
      </c>
      <c r="I158" s="163">
        <v>1.95</v>
      </c>
      <c r="J158" s="163">
        <v>1.06986</v>
      </c>
      <c r="K158" s="163">
        <v>33.212000000000003</v>
      </c>
      <c r="L158" s="163">
        <v>7.6841900000000005E-2</v>
      </c>
      <c r="M158" s="163">
        <v>0.56699999999999995</v>
      </c>
      <c r="N158" s="163">
        <v>0.77268000000000003</v>
      </c>
      <c r="O158" s="163">
        <v>0.63540872599999998</v>
      </c>
      <c r="P158" s="163">
        <v>2.2999999999999998</v>
      </c>
      <c r="Q158" s="164">
        <v>-0.68620400000000004</v>
      </c>
    </row>
    <row r="159" spans="1:17" ht="15" x14ac:dyDescent="0.25">
      <c r="A159" s="156" t="s">
        <v>521</v>
      </c>
      <c r="B159" s="156" t="s">
        <v>527</v>
      </c>
      <c r="C159" s="156">
        <v>543</v>
      </c>
      <c r="D159" s="156">
        <v>1839</v>
      </c>
      <c r="E159" s="156">
        <v>817</v>
      </c>
      <c r="F159" s="156">
        <v>0</v>
      </c>
      <c r="G159" s="156">
        <v>1034</v>
      </c>
      <c r="H159" s="156">
        <v>2.2509199999999998</v>
      </c>
      <c r="I159" s="156">
        <v>1.95</v>
      </c>
      <c r="J159" s="156">
        <v>1.13453</v>
      </c>
      <c r="K159" s="156">
        <v>126.876</v>
      </c>
      <c r="L159" s="156">
        <v>0.13442000000000001</v>
      </c>
      <c r="M159" s="156">
        <v>0.56699999999999995</v>
      </c>
      <c r="N159" s="156">
        <v>0.77268000000000003</v>
      </c>
      <c r="O159" s="156">
        <v>0.63540872599999998</v>
      </c>
      <c r="P159" s="156">
        <v>2.2999999999999998</v>
      </c>
      <c r="Q159" s="159">
        <v>-0.18881300000000001</v>
      </c>
    </row>
    <row r="160" spans="1:17" ht="15" x14ac:dyDescent="0.25">
      <c r="A160" s="163" t="s">
        <v>521</v>
      </c>
      <c r="B160" s="163" t="s">
        <v>523</v>
      </c>
      <c r="C160" s="163">
        <v>279</v>
      </c>
      <c r="D160" s="163">
        <v>4804</v>
      </c>
      <c r="E160" s="163">
        <v>1935</v>
      </c>
      <c r="F160" s="163">
        <v>0</v>
      </c>
      <c r="G160" s="163">
        <v>2079</v>
      </c>
      <c r="H160" s="163">
        <v>2.4826899999999998</v>
      </c>
      <c r="I160" s="163">
        <v>1.95</v>
      </c>
      <c r="J160" s="163">
        <v>1.0723400000000001</v>
      </c>
      <c r="K160" s="163">
        <v>178.21299999999999</v>
      </c>
      <c r="L160" s="163">
        <v>8.4332799999999999E-2</v>
      </c>
      <c r="M160" s="163">
        <v>0.56699999999999995</v>
      </c>
      <c r="N160" s="163">
        <v>0.77268000000000003</v>
      </c>
      <c r="O160" s="163">
        <v>0.63540872599999998</v>
      </c>
      <c r="P160" s="163">
        <v>2.2999999999999998</v>
      </c>
      <c r="Q160" s="164">
        <v>-0.68358699999999994</v>
      </c>
    </row>
    <row r="161" spans="1:17" ht="15" x14ac:dyDescent="0.25">
      <c r="A161" s="156" t="s">
        <v>521</v>
      </c>
      <c r="B161" s="156" t="s">
        <v>523</v>
      </c>
      <c r="C161" s="156">
        <v>590</v>
      </c>
      <c r="D161" s="156">
        <v>11632</v>
      </c>
      <c r="E161" s="156">
        <v>4602</v>
      </c>
      <c r="F161" s="156">
        <v>72</v>
      </c>
      <c r="G161" s="156">
        <v>4840</v>
      </c>
      <c r="H161" s="156">
        <v>2.5276000000000001</v>
      </c>
      <c r="I161" s="156">
        <v>1.95</v>
      </c>
      <c r="J161" s="156">
        <v>1.01614</v>
      </c>
      <c r="K161" s="156">
        <v>96.279899999999998</v>
      </c>
      <c r="L161" s="156">
        <v>2.04926E-2</v>
      </c>
      <c r="M161" s="156">
        <v>0.56699999999999995</v>
      </c>
      <c r="N161" s="156">
        <v>0.77268000000000003</v>
      </c>
      <c r="O161" s="156">
        <v>0.63540872599999998</v>
      </c>
      <c r="P161" s="156">
        <v>2.2999999999999998</v>
      </c>
      <c r="Q161" s="159">
        <v>-0.40405200000000002</v>
      </c>
    </row>
    <row r="162" spans="1:17" ht="15" x14ac:dyDescent="0.25">
      <c r="A162" s="163" t="s">
        <v>521</v>
      </c>
      <c r="B162" s="163" t="s">
        <v>523</v>
      </c>
      <c r="C162" s="163">
        <v>2319</v>
      </c>
      <c r="D162" s="163">
        <v>1051</v>
      </c>
      <c r="E162" s="163">
        <v>401</v>
      </c>
      <c r="F162" s="163">
        <v>5</v>
      </c>
      <c r="G162" s="163">
        <v>432</v>
      </c>
      <c r="H162" s="163">
        <v>2.6209500000000001</v>
      </c>
      <c r="I162" s="163">
        <v>1.95</v>
      </c>
      <c r="J162" s="163">
        <v>1.00631</v>
      </c>
      <c r="K162" s="163">
        <v>3.4021400000000002</v>
      </c>
      <c r="L162" s="163">
        <v>8.4127999999999998E-3</v>
      </c>
      <c r="M162" s="163">
        <v>0.56699999999999995</v>
      </c>
      <c r="N162" s="163">
        <v>0.77268000000000003</v>
      </c>
      <c r="O162" s="163">
        <v>0.63540872599999998</v>
      </c>
      <c r="P162" s="163">
        <v>2.2999999999999998</v>
      </c>
      <c r="Q162" s="164">
        <v>-0.75090299999999999</v>
      </c>
    </row>
    <row r="163" spans="1:17" ht="15" x14ac:dyDescent="0.25">
      <c r="A163" s="156" t="s">
        <v>521</v>
      </c>
      <c r="B163" s="156" t="s">
        <v>523</v>
      </c>
      <c r="C163" s="156">
        <v>2978</v>
      </c>
      <c r="D163" s="156">
        <v>7911</v>
      </c>
      <c r="E163" s="156">
        <v>4175</v>
      </c>
      <c r="F163" s="156">
        <v>6</v>
      </c>
      <c r="G163" s="156">
        <v>5241</v>
      </c>
      <c r="H163" s="156">
        <v>1.8948499999999999</v>
      </c>
      <c r="I163" s="156">
        <v>1.95</v>
      </c>
      <c r="J163" s="156">
        <v>1.0750500000000001</v>
      </c>
      <c r="K163" s="156">
        <v>304.47399999999999</v>
      </c>
      <c r="L163" s="156">
        <v>6.7970799999999998E-2</v>
      </c>
      <c r="M163" s="156">
        <v>0.56699999999999995</v>
      </c>
      <c r="N163" s="156">
        <v>0.77268000000000003</v>
      </c>
      <c r="O163" s="156">
        <v>0.63540872599999998</v>
      </c>
      <c r="P163" s="156">
        <v>2.2999999999999998</v>
      </c>
      <c r="Q163" s="159">
        <v>0.17255300000000001</v>
      </c>
    </row>
    <row r="164" spans="1:17" ht="15" x14ac:dyDescent="0.25">
      <c r="A164" s="163" t="s">
        <v>521</v>
      </c>
      <c r="B164" s="163" t="s">
        <v>523</v>
      </c>
      <c r="C164" s="163">
        <v>3182</v>
      </c>
      <c r="D164" s="163">
        <v>37114</v>
      </c>
      <c r="E164" s="163">
        <v>15415</v>
      </c>
      <c r="F164" s="163">
        <v>394</v>
      </c>
      <c r="G164" s="163">
        <v>16509</v>
      </c>
      <c r="H164" s="163">
        <v>2.4076599999999999</v>
      </c>
      <c r="I164" s="163">
        <v>1.95</v>
      </c>
      <c r="J164" s="163">
        <v>1.07046</v>
      </c>
      <c r="K164" s="163">
        <v>1340.97</v>
      </c>
      <c r="L164" s="163">
        <v>8.0029600000000006E-2</v>
      </c>
      <c r="M164" s="163">
        <v>0.56699999999999995</v>
      </c>
      <c r="N164" s="163">
        <v>0.77268000000000003</v>
      </c>
      <c r="O164" s="163">
        <v>0.63540872599999998</v>
      </c>
      <c r="P164" s="163">
        <v>2.2999999999999998</v>
      </c>
      <c r="Q164" s="164">
        <v>-0.39824599999999999</v>
      </c>
    </row>
    <row r="165" spans="1:17" ht="15" x14ac:dyDescent="0.25">
      <c r="A165" s="156" t="s">
        <v>521</v>
      </c>
      <c r="B165" s="156" t="s">
        <v>523</v>
      </c>
      <c r="C165" s="156">
        <v>3677</v>
      </c>
      <c r="D165" s="156">
        <v>2163</v>
      </c>
      <c r="E165" s="156">
        <v>963</v>
      </c>
      <c r="F165" s="156">
        <v>0</v>
      </c>
      <c r="G165" s="156">
        <v>1112</v>
      </c>
      <c r="H165" s="156">
        <v>2.2461099999999998</v>
      </c>
      <c r="I165" s="156">
        <v>1.95</v>
      </c>
      <c r="J165" s="156">
        <v>1.1112899999999999</v>
      </c>
      <c r="K165" s="156">
        <v>123.447</v>
      </c>
      <c r="L165" s="156">
        <v>0.113624</v>
      </c>
      <c r="M165" s="156">
        <v>0.56699999999999995</v>
      </c>
      <c r="N165" s="156">
        <v>0.77268000000000003</v>
      </c>
      <c r="O165" s="156">
        <v>0.63540872599999998</v>
      </c>
      <c r="P165" s="156">
        <v>2.2999999999999998</v>
      </c>
      <c r="Q165" s="159">
        <v>-0.25103399999999998</v>
      </c>
    </row>
    <row r="166" spans="1:17" ht="15" x14ac:dyDescent="0.25">
      <c r="A166" s="163" t="s">
        <v>521</v>
      </c>
      <c r="B166" s="163" t="s">
        <v>523</v>
      </c>
      <c r="C166" s="163">
        <v>3759</v>
      </c>
      <c r="D166" s="163">
        <v>4145</v>
      </c>
      <c r="E166" s="163">
        <v>1748</v>
      </c>
      <c r="F166" s="163">
        <v>0</v>
      </c>
      <c r="G166" s="163">
        <v>1899</v>
      </c>
      <c r="H166" s="163">
        <v>2.3712800000000001</v>
      </c>
      <c r="I166" s="163">
        <v>1.95</v>
      </c>
      <c r="J166" s="163">
        <v>1.0723400000000001</v>
      </c>
      <c r="K166" s="163">
        <v>153.76599999999999</v>
      </c>
      <c r="L166" s="163">
        <v>8.0854499999999996E-2</v>
      </c>
      <c r="M166" s="163">
        <v>0.56699999999999995</v>
      </c>
      <c r="N166" s="163">
        <v>0.77268000000000003</v>
      </c>
      <c r="O166" s="163">
        <v>0.63540872599999998</v>
      </c>
      <c r="P166" s="163">
        <v>2.2999999999999998</v>
      </c>
      <c r="Q166" s="164">
        <v>-0.39261600000000002</v>
      </c>
    </row>
    <row r="167" spans="1:17" ht="15" x14ac:dyDescent="0.25">
      <c r="A167" s="156" t="s">
        <v>521</v>
      </c>
      <c r="B167" s="156" t="s">
        <v>523</v>
      </c>
      <c r="C167" s="156">
        <v>6223</v>
      </c>
      <c r="D167" s="156">
        <v>1343</v>
      </c>
      <c r="E167" s="156">
        <v>701</v>
      </c>
      <c r="F167" s="156">
        <v>0</v>
      </c>
      <c r="G167" s="156">
        <v>967</v>
      </c>
      <c r="H167" s="156">
        <v>1.9158299999999999</v>
      </c>
      <c r="I167" s="156">
        <v>1.95</v>
      </c>
      <c r="J167" s="156">
        <v>1</v>
      </c>
      <c r="K167" s="156">
        <v>0</v>
      </c>
      <c r="L167" s="156">
        <v>0</v>
      </c>
      <c r="M167" s="156">
        <v>0.56699999999999995</v>
      </c>
      <c r="N167" s="156">
        <v>0.77268000000000003</v>
      </c>
      <c r="O167" s="156">
        <v>0.63540872599999998</v>
      </c>
      <c r="P167" s="156">
        <v>2.2999999999999998</v>
      </c>
      <c r="Q167" s="159">
        <v>-0.54213299999999998</v>
      </c>
    </row>
    <row r="168" spans="1:17" ht="15" x14ac:dyDescent="0.25">
      <c r="A168" s="163" t="s">
        <v>521</v>
      </c>
      <c r="B168" s="163" t="s">
        <v>523</v>
      </c>
      <c r="C168" s="163">
        <v>7718</v>
      </c>
      <c r="D168" s="163">
        <v>1231</v>
      </c>
      <c r="E168" s="163">
        <v>612</v>
      </c>
      <c r="F168" s="163">
        <v>0</v>
      </c>
      <c r="G168" s="163">
        <v>835</v>
      </c>
      <c r="H168" s="163">
        <v>2.0114399999999999</v>
      </c>
      <c r="I168" s="163">
        <v>1.95</v>
      </c>
      <c r="J168" s="163">
        <v>1.13453</v>
      </c>
      <c r="K168" s="163">
        <v>84.929100000000005</v>
      </c>
      <c r="L168" s="163">
        <v>0.121862</v>
      </c>
      <c r="M168" s="163">
        <v>0.56699999999999995</v>
      </c>
      <c r="N168" s="163">
        <v>0.77268000000000003</v>
      </c>
      <c r="O168" s="163">
        <v>0.63540872599999998</v>
      </c>
      <c r="P168" s="163">
        <v>2.2999999999999998</v>
      </c>
      <c r="Q168" s="164">
        <v>-2.5336600000000001E-2</v>
      </c>
    </row>
    <row r="169" spans="1:17" ht="15" x14ac:dyDescent="0.25">
      <c r="A169" s="156" t="s">
        <v>521</v>
      </c>
      <c r="B169" s="156" t="s">
        <v>523</v>
      </c>
      <c r="C169" s="156">
        <v>7745</v>
      </c>
      <c r="D169" s="156">
        <v>781</v>
      </c>
      <c r="E169" s="156">
        <v>330</v>
      </c>
      <c r="F169" s="156">
        <v>0</v>
      </c>
      <c r="G169" s="156">
        <v>371</v>
      </c>
      <c r="H169" s="156">
        <v>2.3666700000000001</v>
      </c>
      <c r="I169" s="156">
        <v>1.95</v>
      </c>
      <c r="J169" s="156">
        <v>1.0568900000000001</v>
      </c>
      <c r="K169" s="156">
        <v>22.783999999999999</v>
      </c>
      <c r="L169" s="156">
        <v>6.4583500000000002E-2</v>
      </c>
      <c r="M169" s="156">
        <v>0.56699999999999995</v>
      </c>
      <c r="N169" s="156">
        <v>0.77268000000000003</v>
      </c>
      <c r="O169" s="156">
        <v>0.63540872599999998</v>
      </c>
      <c r="P169" s="156">
        <v>2.2999999999999998</v>
      </c>
      <c r="Q169" s="159">
        <v>-0.29533700000000002</v>
      </c>
    </row>
    <row r="170" spans="1:17" ht="15" x14ac:dyDescent="0.25">
      <c r="A170" s="163" t="s">
        <v>521</v>
      </c>
      <c r="B170" s="163" t="s">
        <v>523</v>
      </c>
      <c r="C170" s="163">
        <v>7999</v>
      </c>
      <c r="D170" s="163">
        <v>4583</v>
      </c>
      <c r="E170" s="163">
        <v>1719</v>
      </c>
      <c r="F170" s="163">
        <v>0</v>
      </c>
      <c r="G170" s="163">
        <v>1819</v>
      </c>
      <c r="H170" s="163">
        <v>2.6660900000000001</v>
      </c>
      <c r="I170" s="163">
        <v>1.95</v>
      </c>
      <c r="J170" s="163">
        <v>1</v>
      </c>
      <c r="K170" s="163">
        <v>0</v>
      </c>
      <c r="L170" s="163">
        <v>0</v>
      </c>
      <c r="M170" s="163">
        <v>0.56699999999999995</v>
      </c>
      <c r="N170" s="163">
        <v>0.77268000000000003</v>
      </c>
      <c r="O170" s="163">
        <v>0.63540872599999998</v>
      </c>
      <c r="P170" s="163">
        <v>2.2999999999999998</v>
      </c>
      <c r="Q170" s="164">
        <v>-0.61721800000000004</v>
      </c>
    </row>
    <row r="171" spans="1:17" ht="15" x14ac:dyDescent="0.25">
      <c r="A171" s="156" t="s">
        <v>521</v>
      </c>
      <c r="B171" s="156" t="s">
        <v>523</v>
      </c>
      <c r="C171" s="156">
        <v>8417</v>
      </c>
      <c r="D171" s="156">
        <v>8223</v>
      </c>
      <c r="E171" s="156">
        <v>3617</v>
      </c>
      <c r="F171" s="156">
        <v>24</v>
      </c>
      <c r="G171" s="156">
        <v>4456</v>
      </c>
      <c r="H171" s="156">
        <v>2.2734299999999998</v>
      </c>
      <c r="I171" s="156">
        <v>1.95</v>
      </c>
      <c r="J171" s="156">
        <v>1.00631</v>
      </c>
      <c r="K171" s="156">
        <v>26.618300000000001</v>
      </c>
      <c r="L171" s="156">
        <v>7.3055000000000004E-3</v>
      </c>
      <c r="M171" s="156">
        <v>0.56699999999999995</v>
      </c>
      <c r="N171" s="156">
        <v>0.77268000000000003</v>
      </c>
      <c r="O171" s="156">
        <v>0.63540872599999998</v>
      </c>
      <c r="P171" s="156">
        <v>2.2999999999999998</v>
      </c>
      <c r="Q171" s="159">
        <v>-0.23164299999999999</v>
      </c>
    </row>
    <row r="172" spans="1:17" ht="15" x14ac:dyDescent="0.25">
      <c r="A172" s="163" t="s">
        <v>521</v>
      </c>
      <c r="B172" s="163" t="s">
        <v>523</v>
      </c>
      <c r="C172" s="163">
        <v>11082</v>
      </c>
      <c r="D172" s="163">
        <v>2709</v>
      </c>
      <c r="E172" s="163">
        <v>1215</v>
      </c>
      <c r="F172" s="163">
        <v>0</v>
      </c>
      <c r="G172" s="163">
        <v>1400</v>
      </c>
      <c r="H172" s="163">
        <v>2.2296299999999998</v>
      </c>
      <c r="I172" s="163">
        <v>1.95</v>
      </c>
      <c r="J172" s="163">
        <v>1.41842</v>
      </c>
      <c r="K172" s="163">
        <v>581.28</v>
      </c>
      <c r="L172" s="163">
        <v>0.323602</v>
      </c>
      <c r="M172" s="163">
        <v>0.56699999999999995</v>
      </c>
      <c r="N172" s="163">
        <v>0.77268000000000003</v>
      </c>
      <c r="O172" s="163">
        <v>0.63540872599999998</v>
      </c>
      <c r="P172" s="163">
        <v>2.2999999999999998</v>
      </c>
      <c r="Q172" s="164">
        <v>-0.31300800000000001</v>
      </c>
    </row>
    <row r="173" spans="1:17" ht="15" x14ac:dyDescent="0.25">
      <c r="A173" s="156" t="s">
        <v>521</v>
      </c>
      <c r="B173" s="156" t="s">
        <v>561</v>
      </c>
      <c r="C173" s="156">
        <v>6640</v>
      </c>
      <c r="D173" s="156">
        <v>529</v>
      </c>
      <c r="E173" s="156">
        <v>307</v>
      </c>
      <c r="F173" s="156">
        <v>0</v>
      </c>
      <c r="G173" s="156">
        <v>427</v>
      </c>
      <c r="H173" s="156">
        <v>1.7231300000000001</v>
      </c>
      <c r="I173" s="156">
        <v>1.95</v>
      </c>
      <c r="J173" s="156">
        <v>1.3102799999999999</v>
      </c>
      <c r="K173" s="156">
        <v>84.174400000000006</v>
      </c>
      <c r="L173" s="156">
        <v>0.21518399999999999</v>
      </c>
      <c r="M173" s="156">
        <v>0.56699999999999995</v>
      </c>
      <c r="N173" s="156">
        <v>0.77268000000000003</v>
      </c>
      <c r="O173" s="156">
        <v>0.63540872599999998</v>
      </c>
      <c r="P173" s="156">
        <v>2.2999999999999998</v>
      </c>
      <c r="Q173" s="159">
        <v>-0.48082900000000001</v>
      </c>
    </row>
    <row r="174" spans="1:17" ht="15" x14ac:dyDescent="0.25">
      <c r="A174" s="163" t="s">
        <v>521</v>
      </c>
      <c r="B174" s="163" t="s">
        <v>556</v>
      </c>
      <c r="C174" s="163">
        <v>5953</v>
      </c>
      <c r="D174" s="163">
        <v>878</v>
      </c>
      <c r="E174" s="163">
        <v>519</v>
      </c>
      <c r="F174" s="163">
        <v>0</v>
      </c>
      <c r="G174" s="163">
        <v>598</v>
      </c>
      <c r="H174" s="163">
        <v>1.69171</v>
      </c>
      <c r="I174" s="163">
        <v>1.95</v>
      </c>
      <c r="J174" s="163">
        <v>1.0568900000000001</v>
      </c>
      <c r="K174" s="163">
        <v>25.613800000000001</v>
      </c>
      <c r="L174" s="163">
        <v>4.7031099999999999E-2</v>
      </c>
      <c r="M174" s="163">
        <v>0.56699999999999995</v>
      </c>
      <c r="N174" s="163">
        <v>0.77268000000000003</v>
      </c>
      <c r="O174" s="163">
        <v>0.63540872599999998</v>
      </c>
      <c r="P174" s="163">
        <v>2.2999999999999998</v>
      </c>
      <c r="Q174" s="164">
        <v>-0.214113</v>
      </c>
    </row>
    <row r="175" spans="1:17" ht="15" x14ac:dyDescent="0.25">
      <c r="A175" s="156" t="s">
        <v>521</v>
      </c>
      <c r="B175" s="156" t="s">
        <v>821</v>
      </c>
      <c r="C175" s="156">
        <v>6881</v>
      </c>
      <c r="D175" s="156">
        <v>381</v>
      </c>
      <c r="E175" s="156">
        <v>229</v>
      </c>
      <c r="F175" s="156">
        <v>0</v>
      </c>
      <c r="G175" s="156">
        <v>293</v>
      </c>
      <c r="H175" s="156">
        <v>1.6637599999999999</v>
      </c>
      <c r="I175" s="156">
        <v>1.95</v>
      </c>
      <c r="J175" s="156">
        <v>1.41842</v>
      </c>
      <c r="K175" s="156">
        <v>81.752600000000001</v>
      </c>
      <c r="L175" s="156">
        <v>0.26307900000000001</v>
      </c>
      <c r="M175" s="156">
        <v>0.56699999999999995</v>
      </c>
      <c r="N175" s="156">
        <v>0.77268000000000003</v>
      </c>
      <c r="O175" s="156">
        <v>0.63540872599999998</v>
      </c>
      <c r="P175" s="156">
        <v>2.2999999999999998</v>
      </c>
      <c r="Q175" s="159">
        <v>-0.190884</v>
      </c>
    </row>
    <row r="176" spans="1:17" ht="15" x14ac:dyDescent="0.25">
      <c r="A176" s="163" t="s">
        <v>521</v>
      </c>
      <c r="B176" s="163" t="s">
        <v>821</v>
      </c>
      <c r="C176" s="163">
        <v>9666</v>
      </c>
      <c r="D176" s="163">
        <v>651</v>
      </c>
      <c r="E176" s="163">
        <v>349</v>
      </c>
      <c r="F176" s="163">
        <v>0</v>
      </c>
      <c r="G176" s="163">
        <v>392</v>
      </c>
      <c r="H176" s="163">
        <v>1.8653299999999999</v>
      </c>
      <c r="I176" s="163">
        <v>1.95</v>
      </c>
      <c r="J176" s="163">
        <v>1.06986</v>
      </c>
      <c r="K176" s="163">
        <v>23.323599999999999</v>
      </c>
      <c r="L176" s="163">
        <v>6.2643500000000005E-2</v>
      </c>
      <c r="M176" s="163">
        <v>0.56699999999999995</v>
      </c>
      <c r="N176" s="163">
        <v>0.77268000000000003</v>
      </c>
      <c r="O176" s="163">
        <v>0.63540872599999998</v>
      </c>
      <c r="P176" s="163">
        <v>2.2999999999999998</v>
      </c>
      <c r="Q176" s="164">
        <v>-0.105003</v>
      </c>
    </row>
    <row r="177" spans="1:17" ht="15" x14ac:dyDescent="0.25">
      <c r="A177" s="156" t="s">
        <v>521</v>
      </c>
      <c r="B177" s="156" t="s">
        <v>525</v>
      </c>
      <c r="C177" s="156">
        <v>540</v>
      </c>
      <c r="D177" s="156">
        <v>1488</v>
      </c>
      <c r="E177" s="156">
        <v>612</v>
      </c>
      <c r="F177" s="156">
        <v>0</v>
      </c>
      <c r="G177" s="156">
        <v>736</v>
      </c>
      <c r="H177" s="156">
        <v>2.4313699999999998</v>
      </c>
      <c r="I177" s="156">
        <v>1.95</v>
      </c>
      <c r="J177" s="156">
        <v>1.13453</v>
      </c>
      <c r="K177" s="156">
        <v>102.66</v>
      </c>
      <c r="L177" s="156">
        <v>0.143649</v>
      </c>
      <c r="M177" s="156">
        <v>0.56699999999999995</v>
      </c>
      <c r="N177" s="156">
        <v>0.77268000000000003</v>
      </c>
      <c r="O177" s="156">
        <v>0.63540872599999998</v>
      </c>
      <c r="P177" s="156">
        <v>2.2999999999999998</v>
      </c>
      <c r="Q177" s="159">
        <v>-0.427481</v>
      </c>
    </row>
    <row r="178" spans="1:17" ht="15" x14ac:dyDescent="0.25">
      <c r="A178" s="163" t="s">
        <v>521</v>
      </c>
      <c r="B178" s="163" t="s">
        <v>822</v>
      </c>
      <c r="C178" s="163">
        <v>3273</v>
      </c>
      <c r="D178" s="163">
        <v>343</v>
      </c>
      <c r="E178" s="163">
        <v>219</v>
      </c>
      <c r="F178" s="163">
        <v>0</v>
      </c>
      <c r="G178" s="163">
        <v>321</v>
      </c>
      <c r="H178" s="163">
        <v>1.5662100000000001</v>
      </c>
      <c r="I178" s="163">
        <v>1.95</v>
      </c>
      <c r="J178" s="163">
        <v>1.13825</v>
      </c>
      <c r="K178" s="163">
        <v>24.3184</v>
      </c>
      <c r="L178" s="163">
        <v>9.9944900000000003E-2</v>
      </c>
      <c r="M178" s="163">
        <v>0.56699999999999995</v>
      </c>
      <c r="N178" s="163">
        <v>0.77268000000000003</v>
      </c>
      <c r="O178" s="163">
        <v>0.63540872599999998</v>
      </c>
      <c r="P178" s="163">
        <v>2.2999999999999998</v>
      </c>
      <c r="Q178" s="164">
        <v>0</v>
      </c>
    </row>
    <row r="179" spans="1:17" ht="15" x14ac:dyDescent="0.25">
      <c r="A179" s="156" t="s">
        <v>521</v>
      </c>
      <c r="B179" s="156" t="s">
        <v>552</v>
      </c>
      <c r="C179" s="156">
        <v>4669</v>
      </c>
      <c r="D179" s="156">
        <v>9748</v>
      </c>
      <c r="E179" s="156">
        <v>4865</v>
      </c>
      <c r="F179" s="156">
        <v>185</v>
      </c>
      <c r="G179" s="156">
        <v>6225</v>
      </c>
      <c r="H179" s="156">
        <v>2.0036999999999998</v>
      </c>
      <c r="I179" s="156">
        <v>1.95</v>
      </c>
      <c r="J179" s="156">
        <v>1.0385500000000001</v>
      </c>
      <c r="K179" s="156">
        <v>192.70099999999999</v>
      </c>
      <c r="L179" s="156">
        <v>3.8100500000000002E-2</v>
      </c>
      <c r="M179" s="156">
        <v>0.56699999999999995</v>
      </c>
      <c r="N179" s="156">
        <v>0.77268000000000003</v>
      </c>
      <c r="O179" s="156">
        <v>0.63540872599999998</v>
      </c>
      <c r="P179" s="156">
        <v>2.2999999999999998</v>
      </c>
      <c r="Q179" s="159">
        <v>-8.1132499999999996E-2</v>
      </c>
    </row>
    <row r="180" spans="1:17" ht="15" x14ac:dyDescent="0.25">
      <c r="A180" s="163" t="s">
        <v>521</v>
      </c>
      <c r="B180" s="163" t="s">
        <v>564</v>
      </c>
      <c r="C180" s="163">
        <v>6982</v>
      </c>
      <c r="D180" s="163">
        <v>299</v>
      </c>
      <c r="E180" s="163">
        <v>124</v>
      </c>
      <c r="F180" s="163">
        <v>0</v>
      </c>
      <c r="G180" s="163">
        <v>143</v>
      </c>
      <c r="H180" s="163">
        <v>2.4112900000000002</v>
      </c>
      <c r="I180" s="163">
        <v>1.95</v>
      </c>
      <c r="J180" s="163">
        <v>1.09839</v>
      </c>
      <c r="K180" s="163">
        <v>15.0868</v>
      </c>
      <c r="L180" s="163">
        <v>0.10847</v>
      </c>
      <c r="M180" s="163">
        <v>0.56699999999999995</v>
      </c>
      <c r="N180" s="163">
        <v>0.77268000000000003</v>
      </c>
      <c r="O180" s="163">
        <v>0.63540872599999998</v>
      </c>
      <c r="P180" s="163">
        <v>2.2999999999999998</v>
      </c>
      <c r="Q180" s="164">
        <v>-0.54655900000000002</v>
      </c>
    </row>
    <row r="181" spans="1:17" ht="15" x14ac:dyDescent="0.25">
      <c r="A181" s="156" t="s">
        <v>521</v>
      </c>
      <c r="B181" s="156" t="s">
        <v>823</v>
      </c>
      <c r="C181" s="156">
        <v>7982</v>
      </c>
      <c r="D181" s="156">
        <v>382</v>
      </c>
      <c r="E181" s="156">
        <v>181</v>
      </c>
      <c r="F181" s="156">
        <v>0</v>
      </c>
      <c r="G181" s="156">
        <v>196</v>
      </c>
      <c r="H181" s="156">
        <v>2.1105</v>
      </c>
      <c r="I181" s="156">
        <v>1.95</v>
      </c>
      <c r="J181" s="156">
        <v>1</v>
      </c>
      <c r="K181" s="156">
        <v>0</v>
      </c>
      <c r="L181" s="156">
        <v>0</v>
      </c>
      <c r="M181" s="156">
        <v>0.56699999999999995</v>
      </c>
      <c r="N181" s="156">
        <v>0.77268000000000003</v>
      </c>
      <c r="O181" s="156">
        <v>0.63540872599999998</v>
      </c>
      <c r="P181" s="156">
        <v>2.2999999999999998</v>
      </c>
      <c r="Q181" s="159">
        <v>-0.86240300000000003</v>
      </c>
    </row>
    <row r="182" spans="1:17" ht="15" x14ac:dyDescent="0.25">
      <c r="A182" s="163" t="s">
        <v>521</v>
      </c>
      <c r="B182" s="163" t="s">
        <v>824</v>
      </c>
      <c r="C182" s="163">
        <v>7773</v>
      </c>
      <c r="D182" s="163">
        <v>206</v>
      </c>
      <c r="E182" s="163">
        <v>95</v>
      </c>
      <c r="F182" s="163">
        <v>0</v>
      </c>
      <c r="G182" s="163">
        <v>111</v>
      </c>
      <c r="H182" s="163">
        <v>2.1684199999999998</v>
      </c>
      <c r="I182" s="163">
        <v>1.95</v>
      </c>
      <c r="J182" s="163">
        <v>1.0385500000000001</v>
      </c>
      <c r="K182" s="163">
        <v>4.07226</v>
      </c>
      <c r="L182" s="163">
        <v>4.1104000000000002E-2</v>
      </c>
      <c r="M182" s="163">
        <v>0.56699999999999995</v>
      </c>
      <c r="N182" s="163">
        <v>0.77268000000000003</v>
      </c>
      <c r="O182" s="163">
        <v>0.63540872599999998</v>
      </c>
      <c r="P182" s="163">
        <v>2.2999999999999998</v>
      </c>
      <c r="Q182" s="164">
        <v>3.7864399999999999E-2</v>
      </c>
    </row>
    <row r="183" spans="1:17" ht="15" x14ac:dyDescent="0.25">
      <c r="A183" s="156" t="s">
        <v>521</v>
      </c>
      <c r="B183" s="156" t="s">
        <v>825</v>
      </c>
      <c r="C183" s="156">
        <v>99999</v>
      </c>
      <c r="D183" s="156">
        <v>634</v>
      </c>
      <c r="E183" s="156">
        <v>270</v>
      </c>
      <c r="F183" s="156">
        <v>14</v>
      </c>
      <c r="G183" s="156">
        <v>287</v>
      </c>
      <c r="H183" s="156">
        <v>2.34815</v>
      </c>
      <c r="I183" s="156">
        <v>1.95</v>
      </c>
      <c r="J183" s="156">
        <v>1.0568900000000001</v>
      </c>
      <c r="K183" s="156">
        <v>18.4956</v>
      </c>
      <c r="L183" s="156">
        <v>6.4110600000000004E-2</v>
      </c>
      <c r="M183" s="156">
        <v>0.56699999999999995</v>
      </c>
      <c r="N183" s="156">
        <v>0.77268000000000003</v>
      </c>
      <c r="O183" s="156">
        <v>0.63540872599999998</v>
      </c>
      <c r="P183" s="156">
        <v>2.2999999999999998</v>
      </c>
      <c r="Q183" s="159">
        <v>-0.294659</v>
      </c>
    </row>
    <row r="184" spans="1:17" ht="15" x14ac:dyDescent="0.25">
      <c r="A184" s="163" t="s">
        <v>521</v>
      </c>
      <c r="B184" s="163" t="s">
        <v>581</v>
      </c>
      <c r="C184" s="163">
        <v>99915</v>
      </c>
      <c r="D184" s="163">
        <v>395</v>
      </c>
      <c r="E184" s="163">
        <v>198</v>
      </c>
      <c r="F184" s="163">
        <v>29</v>
      </c>
      <c r="G184" s="163">
        <v>376</v>
      </c>
      <c r="H184" s="163">
        <v>1.99495</v>
      </c>
      <c r="I184" s="163">
        <v>1.95</v>
      </c>
      <c r="J184" s="163">
        <v>1.0568900000000001</v>
      </c>
      <c r="K184" s="163">
        <v>11.523300000000001</v>
      </c>
      <c r="L184" s="163">
        <v>5.4997699999999997E-2</v>
      </c>
      <c r="M184" s="163">
        <v>0.56699999999999995</v>
      </c>
      <c r="N184" s="163">
        <v>0.77268000000000003</v>
      </c>
      <c r="O184" s="163">
        <v>0.63540872599999998</v>
      </c>
      <c r="P184" s="163">
        <v>2.2999999999999998</v>
      </c>
      <c r="Q184" s="164">
        <v>0.50835200000000003</v>
      </c>
    </row>
    <row r="185" spans="1:17" ht="15" x14ac:dyDescent="0.25">
      <c r="A185" s="156" t="s">
        <v>521</v>
      </c>
      <c r="B185" s="156" t="s">
        <v>572</v>
      </c>
      <c r="C185" s="156">
        <v>8491</v>
      </c>
      <c r="D185" s="156">
        <v>404</v>
      </c>
      <c r="E185" s="156">
        <v>166</v>
      </c>
      <c r="F185" s="156">
        <v>0</v>
      </c>
      <c r="G185" s="156">
        <v>196</v>
      </c>
      <c r="H185" s="156">
        <v>2.4337300000000002</v>
      </c>
      <c r="I185" s="156">
        <v>1.95</v>
      </c>
      <c r="J185" s="156">
        <v>1.41842</v>
      </c>
      <c r="K185" s="156">
        <v>86.687799999999996</v>
      </c>
      <c r="L185" s="156">
        <v>0.34306300000000001</v>
      </c>
      <c r="M185" s="156">
        <v>0.56699999999999995</v>
      </c>
      <c r="N185" s="156">
        <v>0.77268000000000003</v>
      </c>
      <c r="O185" s="156">
        <v>0.63540872599999998</v>
      </c>
      <c r="P185" s="156">
        <v>2.2999999999999998</v>
      </c>
      <c r="Q185" s="159">
        <v>-0.121951</v>
      </c>
    </row>
    <row r="186" spans="1:17" ht="15" x14ac:dyDescent="0.25">
      <c r="A186" s="163" t="s">
        <v>521</v>
      </c>
      <c r="B186" s="163" t="s">
        <v>577</v>
      </c>
      <c r="C186" s="163">
        <v>11863</v>
      </c>
      <c r="D186" s="163">
        <v>380987</v>
      </c>
      <c r="E186" s="163">
        <v>151994</v>
      </c>
      <c r="F186" s="163">
        <v>5975</v>
      </c>
      <c r="G186" s="163">
        <v>170402</v>
      </c>
      <c r="H186" s="163">
        <v>2.5065900000000001</v>
      </c>
      <c r="I186" s="163">
        <v>1.95</v>
      </c>
      <c r="J186" s="163">
        <v>1.0548500000000001</v>
      </c>
      <c r="K186" s="163">
        <v>10715.5</v>
      </c>
      <c r="L186" s="163">
        <v>6.5856799999999993E-2</v>
      </c>
      <c r="M186" s="163">
        <v>0.56699999999999995</v>
      </c>
      <c r="N186" s="163">
        <v>0.77268000000000003</v>
      </c>
      <c r="O186" s="163">
        <v>0.63540872599999998</v>
      </c>
      <c r="P186" s="163">
        <v>2.2999999999999998</v>
      </c>
      <c r="Q186" s="164">
        <v>-0.38345200000000002</v>
      </c>
    </row>
    <row r="187" spans="1:17" ht="15" x14ac:dyDescent="0.25">
      <c r="A187" s="156" t="s">
        <v>521</v>
      </c>
      <c r="B187" s="156" t="s">
        <v>826</v>
      </c>
      <c r="C187" s="156">
        <v>5294</v>
      </c>
      <c r="D187" s="156">
        <v>95</v>
      </c>
      <c r="E187" s="156">
        <v>46</v>
      </c>
      <c r="F187" s="156">
        <v>0</v>
      </c>
      <c r="G187" s="156">
        <v>69</v>
      </c>
      <c r="H187" s="156">
        <v>2.0652200000000001</v>
      </c>
      <c r="I187" s="156">
        <v>1.95</v>
      </c>
      <c r="J187" s="156">
        <v>1.41842</v>
      </c>
      <c r="K187" s="156">
        <v>20.384499999999999</v>
      </c>
      <c r="L187" s="156">
        <v>0.30706699999999998</v>
      </c>
      <c r="M187" s="156">
        <v>0.56699999999999995</v>
      </c>
      <c r="N187" s="156">
        <v>0.77268000000000003</v>
      </c>
      <c r="O187" s="156">
        <v>0.63540872599999998</v>
      </c>
      <c r="P187" s="156">
        <v>2.2999999999999998</v>
      </c>
      <c r="Q187" s="159">
        <v>1.09026</v>
      </c>
    </row>
    <row r="188" spans="1:17" ht="15" x14ac:dyDescent="0.25">
      <c r="A188" s="163" t="s">
        <v>521</v>
      </c>
      <c r="B188" s="163" t="s">
        <v>827</v>
      </c>
      <c r="C188" s="163">
        <v>8514</v>
      </c>
      <c r="D188" s="163">
        <v>630</v>
      </c>
      <c r="E188" s="163">
        <v>320</v>
      </c>
      <c r="F188" s="163">
        <v>0</v>
      </c>
      <c r="G188" s="163">
        <v>356</v>
      </c>
      <c r="H188" s="163">
        <v>1.96875</v>
      </c>
      <c r="I188" s="163">
        <v>1.95</v>
      </c>
      <c r="J188" s="163">
        <v>1.3102799999999999</v>
      </c>
      <c r="K188" s="163">
        <v>100.246</v>
      </c>
      <c r="L188" s="163">
        <v>0.23854</v>
      </c>
      <c r="M188" s="163">
        <v>0.56699999999999995</v>
      </c>
      <c r="N188" s="163">
        <v>0.77268000000000003</v>
      </c>
      <c r="O188" s="163">
        <v>0.63540872599999998</v>
      </c>
      <c r="P188" s="163">
        <v>2.2999999999999998</v>
      </c>
      <c r="Q188" s="164">
        <v>-0.48874600000000001</v>
      </c>
    </row>
    <row r="189" spans="1:17" ht="15" x14ac:dyDescent="0.25">
      <c r="A189" s="156" t="s">
        <v>521</v>
      </c>
      <c r="B189" s="156" t="s">
        <v>828</v>
      </c>
      <c r="C189" s="156">
        <v>9183</v>
      </c>
      <c r="D189" s="156">
        <v>331</v>
      </c>
      <c r="E189" s="156">
        <v>159</v>
      </c>
      <c r="F189" s="156">
        <v>0</v>
      </c>
      <c r="G189" s="156">
        <v>178</v>
      </c>
      <c r="H189" s="156">
        <v>2.0817600000000001</v>
      </c>
      <c r="I189" s="156">
        <v>1.95</v>
      </c>
      <c r="J189" s="156">
        <v>1.09839</v>
      </c>
      <c r="K189" s="156">
        <v>16.7014</v>
      </c>
      <c r="L189" s="156">
        <v>9.5055799999999996E-2</v>
      </c>
      <c r="M189" s="156">
        <v>0.56699999999999995</v>
      </c>
      <c r="N189" s="156">
        <v>0.77268000000000003</v>
      </c>
      <c r="O189" s="156">
        <v>0.63540872599999998</v>
      </c>
      <c r="P189" s="156">
        <v>2.2999999999999998</v>
      </c>
      <c r="Q189" s="159">
        <v>-0.54655900000000002</v>
      </c>
    </row>
    <row r="190" spans="1:17" ht="15" x14ac:dyDescent="0.25">
      <c r="A190" s="163" t="s">
        <v>521</v>
      </c>
      <c r="B190" s="163" t="s">
        <v>829</v>
      </c>
      <c r="C190" s="163">
        <v>7359</v>
      </c>
      <c r="D190" s="163">
        <v>1262</v>
      </c>
      <c r="E190" s="163">
        <v>525</v>
      </c>
      <c r="F190" s="163">
        <v>0</v>
      </c>
      <c r="G190" s="163">
        <v>610</v>
      </c>
      <c r="H190" s="163">
        <v>2.40381</v>
      </c>
      <c r="I190" s="163">
        <v>1.95</v>
      </c>
      <c r="J190" s="163">
        <v>1.0278099999999999</v>
      </c>
      <c r="K190" s="163">
        <v>17.9955</v>
      </c>
      <c r="L190" s="163">
        <v>3.3141200000000003E-2</v>
      </c>
      <c r="M190" s="163">
        <v>0.56699999999999995</v>
      </c>
      <c r="N190" s="163">
        <v>0.77268000000000003</v>
      </c>
      <c r="O190" s="163">
        <v>0.63540872599999998</v>
      </c>
      <c r="P190" s="163">
        <v>2.2999999999999998</v>
      </c>
      <c r="Q190" s="164">
        <v>-0.78733799999999998</v>
      </c>
    </row>
    <row r="191" spans="1:17" ht="15" x14ac:dyDescent="0.25">
      <c r="A191" s="156" t="s">
        <v>521</v>
      </c>
      <c r="B191" s="156" t="s">
        <v>539</v>
      </c>
      <c r="C191" s="156">
        <v>3528</v>
      </c>
      <c r="D191" s="156">
        <v>724</v>
      </c>
      <c r="E191" s="156">
        <v>330</v>
      </c>
      <c r="F191" s="156">
        <v>0</v>
      </c>
      <c r="G191" s="156">
        <v>432</v>
      </c>
      <c r="H191" s="156">
        <v>2.19394</v>
      </c>
      <c r="I191" s="156">
        <v>1.95</v>
      </c>
      <c r="J191" s="156">
        <v>1.41842</v>
      </c>
      <c r="K191" s="156">
        <v>155.351</v>
      </c>
      <c r="L191" s="156">
        <v>0.32007999999999998</v>
      </c>
      <c r="M191" s="156">
        <v>0.56699999999999995</v>
      </c>
      <c r="N191" s="156">
        <v>0.77268000000000003</v>
      </c>
      <c r="O191" s="156">
        <v>0.63540872599999998</v>
      </c>
      <c r="P191" s="156">
        <v>2.2999999999999998</v>
      </c>
      <c r="Q191" s="159">
        <v>4.7656900000000002E-2</v>
      </c>
    </row>
    <row r="192" spans="1:17" ht="15" x14ac:dyDescent="0.25">
      <c r="A192" s="163" t="s">
        <v>521</v>
      </c>
      <c r="B192" s="163" t="s">
        <v>530</v>
      </c>
      <c r="C192" s="163">
        <v>923</v>
      </c>
      <c r="D192" s="163">
        <v>499</v>
      </c>
      <c r="E192" s="163">
        <v>234</v>
      </c>
      <c r="F192" s="163">
        <v>0</v>
      </c>
      <c r="G192" s="163">
        <v>295</v>
      </c>
      <c r="H192" s="163">
        <v>2.1324800000000002</v>
      </c>
      <c r="I192" s="163">
        <v>1.95</v>
      </c>
      <c r="J192" s="163">
        <v>1.09839</v>
      </c>
      <c r="K192" s="163">
        <v>25.1783</v>
      </c>
      <c r="L192" s="163">
        <v>9.71466E-2</v>
      </c>
      <c r="M192" s="163">
        <v>0.56699999999999995</v>
      </c>
      <c r="N192" s="163">
        <v>0.77268000000000003</v>
      </c>
      <c r="O192" s="163">
        <v>0.63540872599999998</v>
      </c>
      <c r="P192" s="163">
        <v>2.2999999999999998</v>
      </c>
      <c r="Q192" s="164">
        <v>-0.96679700000000002</v>
      </c>
    </row>
    <row r="193" spans="1:17" ht="15" x14ac:dyDescent="0.25">
      <c r="A193" s="156" t="s">
        <v>521</v>
      </c>
      <c r="B193" s="156" t="s">
        <v>452</v>
      </c>
      <c r="C193" s="156">
        <v>3590</v>
      </c>
      <c r="D193" s="156">
        <v>2429</v>
      </c>
      <c r="E193" s="156">
        <v>1149</v>
      </c>
      <c r="F193" s="156">
        <v>3</v>
      </c>
      <c r="G193" s="156">
        <v>1642</v>
      </c>
      <c r="H193" s="156">
        <v>2.1140099999999999</v>
      </c>
      <c r="I193" s="156">
        <v>1.95</v>
      </c>
      <c r="J193" s="156">
        <v>1.00631</v>
      </c>
      <c r="K193" s="156">
        <v>7.8628</v>
      </c>
      <c r="L193" s="156">
        <v>6.7967000000000001E-3</v>
      </c>
      <c r="M193" s="156">
        <v>0.56699999999999995</v>
      </c>
      <c r="N193" s="156">
        <v>0.77268000000000003</v>
      </c>
      <c r="O193" s="156">
        <v>0.63540872599999998</v>
      </c>
      <c r="P193" s="156">
        <v>2.2999999999999998</v>
      </c>
      <c r="Q193" s="159">
        <v>-0.14807200000000001</v>
      </c>
    </row>
    <row r="194" spans="1:17" ht="15" x14ac:dyDescent="0.25">
      <c r="A194" s="163" t="s">
        <v>521</v>
      </c>
      <c r="B194" s="163" t="s">
        <v>452</v>
      </c>
      <c r="C194" s="163">
        <v>4668</v>
      </c>
      <c r="D194" s="163">
        <v>1621</v>
      </c>
      <c r="E194" s="163">
        <v>674</v>
      </c>
      <c r="F194" s="163">
        <v>0</v>
      </c>
      <c r="G194" s="163">
        <v>760</v>
      </c>
      <c r="H194" s="163">
        <v>2.4050400000000001</v>
      </c>
      <c r="I194" s="163">
        <v>1.95</v>
      </c>
      <c r="J194" s="163">
        <v>1.13436</v>
      </c>
      <c r="K194" s="163">
        <v>111.69</v>
      </c>
      <c r="L194" s="163">
        <v>0.142156</v>
      </c>
      <c r="M194" s="163">
        <v>0.56699999999999995</v>
      </c>
      <c r="N194" s="163">
        <v>0.77268000000000003</v>
      </c>
      <c r="O194" s="163">
        <v>0.63540872599999998</v>
      </c>
      <c r="P194" s="163">
        <v>2.2999999999999998</v>
      </c>
      <c r="Q194" s="164">
        <v>-0.427481</v>
      </c>
    </row>
    <row r="195" spans="1:17" ht="15" x14ac:dyDescent="0.25">
      <c r="A195" s="156" t="s">
        <v>521</v>
      </c>
      <c r="B195" s="156" t="s">
        <v>452</v>
      </c>
      <c r="C195" s="156">
        <v>6867</v>
      </c>
      <c r="D195" s="156">
        <v>1215</v>
      </c>
      <c r="E195" s="156">
        <v>666</v>
      </c>
      <c r="F195" s="156">
        <v>0</v>
      </c>
      <c r="G195" s="156">
        <v>1142</v>
      </c>
      <c r="H195" s="156">
        <v>1.8243199999999999</v>
      </c>
      <c r="I195" s="156">
        <v>1.95</v>
      </c>
      <c r="J195" s="156">
        <v>1.2678100000000001</v>
      </c>
      <c r="K195" s="156">
        <v>166.86799999999999</v>
      </c>
      <c r="L195" s="156">
        <v>0.200354</v>
      </c>
      <c r="M195" s="156">
        <v>0.56699999999999995</v>
      </c>
      <c r="N195" s="156">
        <v>0.77268000000000003</v>
      </c>
      <c r="O195" s="156">
        <v>0.63540872599999998</v>
      </c>
      <c r="P195" s="156">
        <v>2.2999999999999998</v>
      </c>
      <c r="Q195" s="159">
        <v>0.210843</v>
      </c>
    </row>
    <row r="196" spans="1:17" ht="15" x14ac:dyDescent="0.25">
      <c r="A196" s="163" t="s">
        <v>582</v>
      </c>
      <c r="B196" s="163" t="s">
        <v>588</v>
      </c>
      <c r="C196" s="163">
        <v>2981</v>
      </c>
      <c r="D196" s="163">
        <v>136218</v>
      </c>
      <c r="E196" s="163">
        <v>63869</v>
      </c>
      <c r="F196" s="163">
        <v>4294</v>
      </c>
      <c r="G196" s="163">
        <v>76371</v>
      </c>
      <c r="H196" s="163">
        <v>2.1327699999999998</v>
      </c>
      <c r="I196" s="163">
        <v>1.95</v>
      </c>
      <c r="J196" s="163">
        <v>1.05915</v>
      </c>
      <c r="K196" s="163">
        <v>4132.03</v>
      </c>
      <c r="L196" s="163">
        <v>6.0764199999999997E-2</v>
      </c>
      <c r="M196" s="163">
        <v>0.442</v>
      </c>
      <c r="N196" s="163">
        <v>0.70704999999999996</v>
      </c>
      <c r="O196" s="163">
        <v>0.68291406099999996</v>
      </c>
      <c r="P196" s="163">
        <v>2.7</v>
      </c>
      <c r="Q196" s="164">
        <v>0.16889599999999999</v>
      </c>
    </row>
    <row r="197" spans="1:17" ht="15" x14ac:dyDescent="0.25">
      <c r="A197" s="156" t="s">
        <v>582</v>
      </c>
      <c r="B197" s="156" t="s">
        <v>586</v>
      </c>
      <c r="C197" s="156">
        <v>2980</v>
      </c>
      <c r="D197" s="156">
        <v>38861</v>
      </c>
      <c r="E197" s="156">
        <v>19932</v>
      </c>
      <c r="F197" s="156">
        <v>811</v>
      </c>
      <c r="G197" s="156">
        <v>23536</v>
      </c>
      <c r="H197" s="156">
        <v>1.9496800000000001</v>
      </c>
      <c r="I197" s="156">
        <v>1.95</v>
      </c>
      <c r="J197" s="156">
        <v>1.1125100000000001</v>
      </c>
      <c r="K197" s="156">
        <v>2242.12</v>
      </c>
      <c r="L197" s="156">
        <v>0.101114</v>
      </c>
      <c r="M197" s="156">
        <v>0.442</v>
      </c>
      <c r="N197" s="156">
        <v>0.70704999999999996</v>
      </c>
      <c r="O197" s="156">
        <v>0.68291406099999996</v>
      </c>
      <c r="P197" s="156">
        <v>2.7</v>
      </c>
      <c r="Q197" s="159">
        <v>-0.21279000000000001</v>
      </c>
    </row>
    <row r="198" spans="1:17" ht="15" x14ac:dyDescent="0.25">
      <c r="A198" s="163" t="s">
        <v>582</v>
      </c>
      <c r="B198" s="163" t="s">
        <v>593</v>
      </c>
      <c r="C198" s="163">
        <v>10795</v>
      </c>
      <c r="D198" s="163">
        <v>13608</v>
      </c>
      <c r="E198" s="163">
        <v>7223</v>
      </c>
      <c r="F198" s="163">
        <v>142</v>
      </c>
      <c r="G198" s="163">
        <v>8585</v>
      </c>
      <c r="H198" s="163">
        <v>1.88398</v>
      </c>
      <c r="I198" s="163">
        <v>1.95</v>
      </c>
      <c r="J198" s="163">
        <v>1.1735100000000001</v>
      </c>
      <c r="K198" s="163">
        <v>1210.8499999999999</v>
      </c>
      <c r="L198" s="163">
        <v>0.14357</v>
      </c>
      <c r="M198" s="163">
        <v>0.442</v>
      </c>
      <c r="N198" s="163">
        <v>0.70704999999999996</v>
      </c>
      <c r="O198" s="163">
        <v>0.68291406099999996</v>
      </c>
      <c r="P198" s="163">
        <v>2.7</v>
      </c>
      <c r="Q198" s="164">
        <v>-0.39489999999999997</v>
      </c>
    </row>
    <row r="199" spans="1:17" ht="15" x14ac:dyDescent="0.25">
      <c r="A199" s="156" t="s">
        <v>582</v>
      </c>
      <c r="B199" s="156" t="s">
        <v>595</v>
      </c>
      <c r="C199" s="156">
        <v>11218</v>
      </c>
      <c r="D199" s="156">
        <v>20070</v>
      </c>
      <c r="E199" s="156">
        <v>8244</v>
      </c>
      <c r="F199" s="156">
        <v>117</v>
      </c>
      <c r="G199" s="156">
        <v>8741</v>
      </c>
      <c r="H199" s="156">
        <v>2.4344999999999999</v>
      </c>
      <c r="I199" s="156">
        <v>1.95</v>
      </c>
      <c r="J199" s="156">
        <v>1.05775</v>
      </c>
      <c r="K199" s="156">
        <v>594.42499999999995</v>
      </c>
      <c r="L199" s="156">
        <v>6.7254599999999998E-2</v>
      </c>
      <c r="M199" s="156">
        <v>0.442</v>
      </c>
      <c r="N199" s="156">
        <v>0.70704999999999996</v>
      </c>
      <c r="O199" s="156">
        <v>0.68291406099999996</v>
      </c>
      <c r="P199" s="156">
        <v>2.7</v>
      </c>
      <c r="Q199" s="159">
        <v>0.56075900000000001</v>
      </c>
    </row>
    <row r="200" spans="1:17" ht="15" x14ac:dyDescent="0.25">
      <c r="A200" s="163" t="s">
        <v>582</v>
      </c>
      <c r="B200" s="163" t="s">
        <v>599</v>
      </c>
      <c r="C200" s="163">
        <v>12351</v>
      </c>
      <c r="D200" s="163">
        <v>58045</v>
      </c>
      <c r="E200" s="163">
        <v>25718</v>
      </c>
      <c r="F200" s="163">
        <v>786</v>
      </c>
      <c r="G200" s="163">
        <v>28480</v>
      </c>
      <c r="H200" s="163">
        <v>2.25698</v>
      </c>
      <c r="I200" s="163">
        <v>1.95</v>
      </c>
      <c r="J200" s="163">
        <v>1.0476799999999999</v>
      </c>
      <c r="K200" s="163">
        <v>1419.32</v>
      </c>
      <c r="L200" s="163">
        <v>5.2301300000000002E-2</v>
      </c>
      <c r="M200" s="163">
        <v>0.442</v>
      </c>
      <c r="N200" s="163">
        <v>0.70704999999999996</v>
      </c>
      <c r="O200" s="163">
        <v>0.68291406099999996</v>
      </c>
      <c r="P200" s="163">
        <v>2.7</v>
      </c>
      <c r="Q200" s="164">
        <v>0.61807800000000002</v>
      </c>
    </row>
    <row r="201" spans="1:17" ht="15" x14ac:dyDescent="0.25">
      <c r="A201" s="156" t="s">
        <v>582</v>
      </c>
      <c r="B201" s="156" t="s">
        <v>597</v>
      </c>
      <c r="C201" s="156">
        <v>11245</v>
      </c>
      <c r="D201" s="156">
        <v>16336</v>
      </c>
      <c r="E201" s="156">
        <v>7195</v>
      </c>
      <c r="F201" s="156">
        <v>195</v>
      </c>
      <c r="G201" s="156">
        <v>7737</v>
      </c>
      <c r="H201" s="156">
        <v>2.27047</v>
      </c>
      <c r="I201" s="156">
        <v>1.95</v>
      </c>
      <c r="J201" s="156">
        <v>1.07423</v>
      </c>
      <c r="K201" s="156">
        <v>621.87599999999998</v>
      </c>
      <c r="L201" s="156">
        <v>7.9555500000000001E-2</v>
      </c>
      <c r="M201" s="156">
        <v>0.442</v>
      </c>
      <c r="N201" s="156">
        <v>0.70704999999999996</v>
      </c>
      <c r="O201" s="156">
        <v>0.68291406099999996</v>
      </c>
      <c r="P201" s="156">
        <v>2.7</v>
      </c>
      <c r="Q201" s="159">
        <v>-0.41530800000000001</v>
      </c>
    </row>
    <row r="202" spans="1:17" ht="15" x14ac:dyDescent="0.25">
      <c r="A202" s="163" t="s">
        <v>582</v>
      </c>
      <c r="B202" s="163" t="s">
        <v>603</v>
      </c>
      <c r="C202" s="163">
        <v>20143</v>
      </c>
      <c r="D202" s="163">
        <v>294671</v>
      </c>
      <c r="E202" s="163">
        <v>141430</v>
      </c>
      <c r="F202" s="163">
        <v>7380</v>
      </c>
      <c r="G202" s="163">
        <v>160376</v>
      </c>
      <c r="H202" s="163">
        <v>2.08351</v>
      </c>
      <c r="I202" s="163">
        <v>1.95</v>
      </c>
      <c r="J202" s="163">
        <v>1.0634300000000001</v>
      </c>
      <c r="K202" s="163">
        <v>9584.43</v>
      </c>
      <c r="L202" s="163">
        <v>6.3466999999999996E-2</v>
      </c>
      <c r="M202" s="163">
        <v>0.442</v>
      </c>
      <c r="N202" s="163">
        <v>0.70704999999999996</v>
      </c>
      <c r="O202" s="163">
        <v>0.68291406099999996</v>
      </c>
      <c r="P202" s="163">
        <v>2.7</v>
      </c>
      <c r="Q202" s="164">
        <v>5.3931800000000002E-2</v>
      </c>
    </row>
    <row r="203" spans="1:17" ht="15" x14ac:dyDescent="0.25">
      <c r="A203" s="156" t="s">
        <v>582</v>
      </c>
      <c r="B203" s="156" t="s">
        <v>584</v>
      </c>
      <c r="C203" s="156">
        <v>742</v>
      </c>
      <c r="D203" s="156">
        <v>29588</v>
      </c>
      <c r="E203" s="156">
        <v>13513</v>
      </c>
      <c r="F203" s="156">
        <v>493</v>
      </c>
      <c r="G203" s="156">
        <v>15782</v>
      </c>
      <c r="H203" s="156">
        <v>2.1896</v>
      </c>
      <c r="I203" s="156">
        <v>1.95</v>
      </c>
      <c r="J203" s="156">
        <v>1.0098100000000001</v>
      </c>
      <c r="K203" s="156">
        <v>148.84800000000001</v>
      </c>
      <c r="L203" s="156">
        <v>1.0895200000000001E-2</v>
      </c>
      <c r="M203" s="156">
        <v>0.442</v>
      </c>
      <c r="N203" s="156">
        <v>0.70704999999999996</v>
      </c>
      <c r="O203" s="156">
        <v>0.68291406099999996</v>
      </c>
      <c r="P203" s="156">
        <v>2.7</v>
      </c>
      <c r="Q203" s="159">
        <v>-1.4293999999999999E-3</v>
      </c>
    </row>
    <row r="204" spans="1:17" ht="15" x14ac:dyDescent="0.25">
      <c r="A204" s="163" t="s">
        <v>582</v>
      </c>
      <c r="B204" s="163" t="s">
        <v>601</v>
      </c>
      <c r="C204" s="163">
        <v>20142</v>
      </c>
      <c r="D204" s="163">
        <v>380577</v>
      </c>
      <c r="E204" s="163">
        <v>179508</v>
      </c>
      <c r="F204" s="163">
        <v>7084</v>
      </c>
      <c r="G204" s="163">
        <v>214139</v>
      </c>
      <c r="H204" s="163">
        <v>2.1201099999999999</v>
      </c>
      <c r="I204" s="163">
        <v>1.95</v>
      </c>
      <c r="J204" s="163">
        <v>1.0722100000000001</v>
      </c>
      <c r="K204" s="163">
        <v>14092.6</v>
      </c>
      <c r="L204" s="163">
        <v>7.2791900000000007E-2</v>
      </c>
      <c r="M204" s="163">
        <v>0.442</v>
      </c>
      <c r="N204" s="163">
        <v>0.70704999999999996</v>
      </c>
      <c r="O204" s="163">
        <v>0.68291406099999996</v>
      </c>
      <c r="P204" s="163">
        <v>2.7</v>
      </c>
      <c r="Q204" s="164">
        <v>-8.7380899999999997E-2</v>
      </c>
    </row>
    <row r="205" spans="1:17" ht="15" x14ac:dyDescent="0.25">
      <c r="A205" s="156" t="s">
        <v>582</v>
      </c>
      <c r="B205" s="156" t="s">
        <v>830</v>
      </c>
      <c r="C205" s="156">
        <v>9423</v>
      </c>
      <c r="D205" s="156">
        <v>355</v>
      </c>
      <c r="E205" s="156">
        <v>130</v>
      </c>
      <c r="F205" s="156">
        <v>38</v>
      </c>
      <c r="G205" s="156">
        <v>156</v>
      </c>
      <c r="H205" s="156">
        <v>2.7307700000000001</v>
      </c>
      <c r="I205" s="156">
        <v>1.95</v>
      </c>
      <c r="J205" s="156">
        <v>1.0701099999999999</v>
      </c>
      <c r="K205" s="156">
        <v>12.7637</v>
      </c>
      <c r="L205" s="156">
        <v>8.94041E-2</v>
      </c>
      <c r="M205" s="156">
        <v>0.442</v>
      </c>
      <c r="N205" s="156">
        <v>0.70704999999999996</v>
      </c>
      <c r="O205" s="156">
        <v>0.68291406099999996</v>
      </c>
      <c r="P205" s="156">
        <v>2.7</v>
      </c>
      <c r="Q205" s="159">
        <v>0.83280399999999999</v>
      </c>
    </row>
    <row r="206" spans="1:17" ht="15" x14ac:dyDescent="0.25">
      <c r="A206" s="163" t="s">
        <v>582</v>
      </c>
      <c r="B206" s="163" t="s">
        <v>590</v>
      </c>
      <c r="C206" s="163">
        <v>7692</v>
      </c>
      <c r="D206" s="163">
        <v>5955</v>
      </c>
      <c r="E206" s="163">
        <v>2878</v>
      </c>
      <c r="F206" s="163">
        <v>124</v>
      </c>
      <c r="G206" s="163">
        <v>3452</v>
      </c>
      <c r="H206" s="163">
        <v>2.06915</v>
      </c>
      <c r="I206" s="163">
        <v>1.95</v>
      </c>
      <c r="J206" s="163">
        <v>1.0566199999999999</v>
      </c>
      <c r="K206" s="163">
        <v>172.91499999999999</v>
      </c>
      <c r="L206" s="163">
        <v>5.6676299999999999E-2</v>
      </c>
      <c r="M206" s="163">
        <v>0.442</v>
      </c>
      <c r="N206" s="163">
        <v>0.70704999999999996</v>
      </c>
      <c r="O206" s="163">
        <v>0.68291406099999996</v>
      </c>
      <c r="P206" s="163">
        <v>2.7</v>
      </c>
      <c r="Q206" s="164">
        <v>4.7701599999999997E-2</v>
      </c>
    </row>
    <row r="207" spans="1:17" ht="15" x14ac:dyDescent="0.25">
      <c r="A207" s="156" t="s">
        <v>582</v>
      </c>
      <c r="B207" s="156" t="s">
        <v>452</v>
      </c>
      <c r="C207" s="156">
        <v>10350</v>
      </c>
      <c r="D207" s="156">
        <v>789</v>
      </c>
      <c r="E207" s="156">
        <v>457</v>
      </c>
      <c r="F207" s="156">
        <v>0</v>
      </c>
      <c r="G207" s="156">
        <v>590</v>
      </c>
      <c r="H207" s="156">
        <v>1.72648</v>
      </c>
      <c r="I207" s="156">
        <v>1.95</v>
      </c>
      <c r="J207" s="156">
        <v>1.0855900000000001</v>
      </c>
      <c r="K207" s="156">
        <v>34.6312</v>
      </c>
      <c r="L207" s="156">
        <v>7.0441500000000004E-2</v>
      </c>
      <c r="M207" s="156">
        <v>0.442</v>
      </c>
      <c r="N207" s="156">
        <v>0.70704999999999996</v>
      </c>
      <c r="O207" s="156">
        <v>0.68291406099999996</v>
      </c>
      <c r="P207" s="156">
        <v>2.7</v>
      </c>
      <c r="Q207" s="159">
        <v>-0.37002800000000002</v>
      </c>
    </row>
    <row r="208" spans="1:17" ht="15" x14ac:dyDescent="0.25">
      <c r="A208" s="163" t="s">
        <v>604</v>
      </c>
      <c r="B208" s="163" t="s">
        <v>706</v>
      </c>
      <c r="C208" s="163">
        <v>12964</v>
      </c>
      <c r="D208" s="163">
        <v>1850</v>
      </c>
      <c r="E208" s="163">
        <v>579</v>
      </c>
      <c r="F208" s="163">
        <v>0</v>
      </c>
      <c r="G208" s="163">
        <v>605</v>
      </c>
      <c r="H208" s="163">
        <v>3.19516</v>
      </c>
      <c r="I208" s="163">
        <v>1.95</v>
      </c>
      <c r="J208" s="163">
        <v>1.06477</v>
      </c>
      <c r="K208" s="163">
        <v>61.448900000000002</v>
      </c>
      <c r="L208" s="163">
        <v>9.5946600000000007E-2</v>
      </c>
      <c r="M208" s="163">
        <v>0.56699999999999995</v>
      </c>
      <c r="N208" s="163">
        <v>0.77268000000000003</v>
      </c>
      <c r="O208" s="163">
        <v>0.62213407799999998</v>
      </c>
      <c r="P208" s="163">
        <v>2.2999999999999998</v>
      </c>
      <c r="Q208" s="164">
        <v>6.9823000000000003E-3</v>
      </c>
    </row>
    <row r="209" spans="1:17" ht="15" x14ac:dyDescent="0.25">
      <c r="A209" s="156" t="s">
        <v>604</v>
      </c>
      <c r="B209" s="156" t="s">
        <v>831</v>
      </c>
      <c r="C209" s="156">
        <v>7315</v>
      </c>
      <c r="D209" s="156">
        <v>614</v>
      </c>
      <c r="E209" s="156">
        <v>311</v>
      </c>
      <c r="F209" s="156">
        <v>0</v>
      </c>
      <c r="G209" s="156">
        <v>623</v>
      </c>
      <c r="H209" s="156">
        <v>1.97428</v>
      </c>
      <c r="I209" s="156">
        <v>1.95</v>
      </c>
      <c r="J209" s="156">
        <v>1.19787</v>
      </c>
      <c r="K209" s="156">
        <v>62.3035</v>
      </c>
      <c r="L209" s="156">
        <v>0.16689799999999999</v>
      </c>
      <c r="M209" s="156">
        <v>0.56699999999999995</v>
      </c>
      <c r="N209" s="156">
        <v>0.77268000000000003</v>
      </c>
      <c r="O209" s="156">
        <v>0.62213407799999998</v>
      </c>
      <c r="P209" s="156">
        <v>2.2999999999999998</v>
      </c>
      <c r="Q209" s="159">
        <v>-0.44894400000000001</v>
      </c>
    </row>
    <row r="210" spans="1:17" ht="15" x14ac:dyDescent="0.25">
      <c r="A210" s="163" t="s">
        <v>604</v>
      </c>
      <c r="B210" s="163" t="s">
        <v>671</v>
      </c>
      <c r="C210" s="163">
        <v>7328</v>
      </c>
      <c r="D210" s="163">
        <v>2381</v>
      </c>
      <c r="E210" s="163">
        <v>1188</v>
      </c>
      <c r="F210" s="163">
        <v>0</v>
      </c>
      <c r="G210" s="163">
        <v>1531</v>
      </c>
      <c r="H210" s="163">
        <v>2.00421</v>
      </c>
      <c r="I210" s="163">
        <v>1.95</v>
      </c>
      <c r="J210" s="163">
        <v>1.05332</v>
      </c>
      <c r="K210" s="163">
        <v>65.106899999999996</v>
      </c>
      <c r="L210" s="163">
        <v>5.19564E-2</v>
      </c>
      <c r="M210" s="163">
        <v>0.56699999999999995</v>
      </c>
      <c r="N210" s="163">
        <v>0.77268000000000003</v>
      </c>
      <c r="O210" s="163">
        <v>0.62213407799999998</v>
      </c>
      <c r="P210" s="163">
        <v>2.2999999999999998</v>
      </c>
      <c r="Q210" s="164">
        <v>-3.0849499999999998E-2</v>
      </c>
    </row>
    <row r="211" spans="1:17" ht="15" x14ac:dyDescent="0.25">
      <c r="A211" s="156" t="s">
        <v>604</v>
      </c>
      <c r="B211" s="156" t="s">
        <v>669</v>
      </c>
      <c r="C211" s="156">
        <v>7187</v>
      </c>
      <c r="D211" s="156">
        <v>1608</v>
      </c>
      <c r="E211" s="156">
        <v>990</v>
      </c>
      <c r="F211" s="156">
        <v>0</v>
      </c>
      <c r="G211" s="156">
        <v>1299</v>
      </c>
      <c r="H211" s="156">
        <v>1.6242399999999999</v>
      </c>
      <c r="I211" s="156">
        <v>1.95</v>
      </c>
      <c r="J211" s="156">
        <v>1.1109800000000001</v>
      </c>
      <c r="K211" s="156">
        <v>91.518699999999995</v>
      </c>
      <c r="L211" s="156">
        <v>8.4620500000000001E-2</v>
      </c>
      <c r="M211" s="156">
        <v>0.56699999999999995</v>
      </c>
      <c r="N211" s="156">
        <v>0.77268000000000003</v>
      </c>
      <c r="O211" s="156">
        <v>0.62213407799999998</v>
      </c>
      <c r="P211" s="156">
        <v>2.2999999999999998</v>
      </c>
      <c r="Q211" s="159">
        <v>-0.13492999999999999</v>
      </c>
    </row>
    <row r="212" spans="1:17" ht="15" x14ac:dyDescent="0.25">
      <c r="A212" s="163" t="s">
        <v>604</v>
      </c>
      <c r="B212" s="163" t="s">
        <v>832</v>
      </c>
      <c r="C212" s="163">
        <v>6495</v>
      </c>
      <c r="D212" s="163">
        <v>167</v>
      </c>
      <c r="E212" s="163">
        <v>54</v>
      </c>
      <c r="F212" s="163">
        <v>0</v>
      </c>
      <c r="G212" s="163">
        <v>57</v>
      </c>
      <c r="H212" s="163">
        <v>3.09259</v>
      </c>
      <c r="I212" s="163">
        <v>1.95</v>
      </c>
      <c r="J212" s="163">
        <v>1.0844199999999999</v>
      </c>
      <c r="K212" s="163">
        <v>7.2298099999999996</v>
      </c>
      <c r="L212" s="163">
        <v>0.118077</v>
      </c>
      <c r="M212" s="163">
        <v>0.56699999999999995</v>
      </c>
      <c r="N212" s="163">
        <v>0.77268000000000003</v>
      </c>
      <c r="O212" s="163">
        <v>0.62213407799999998</v>
      </c>
      <c r="P212" s="163">
        <v>2.2999999999999998</v>
      </c>
      <c r="Q212" s="164">
        <v>-0.57226399999999999</v>
      </c>
    </row>
    <row r="213" spans="1:17" ht="15" x14ac:dyDescent="0.25">
      <c r="A213" s="156" t="s">
        <v>604</v>
      </c>
      <c r="B213" s="156" t="s">
        <v>665</v>
      </c>
      <c r="C213" s="156">
        <v>7119</v>
      </c>
      <c r="D213" s="156">
        <v>41756</v>
      </c>
      <c r="E213" s="156">
        <v>16174</v>
      </c>
      <c r="F213" s="156">
        <v>171</v>
      </c>
      <c r="G213" s="156">
        <v>18202</v>
      </c>
      <c r="H213" s="156">
        <v>2.5816699999999999</v>
      </c>
      <c r="I213" s="156">
        <v>1.95</v>
      </c>
      <c r="J213" s="156">
        <v>1.0656000000000001</v>
      </c>
      <c r="K213" s="156">
        <v>1404.76</v>
      </c>
      <c r="L213" s="156">
        <v>7.9912200000000003E-2</v>
      </c>
      <c r="M213" s="156">
        <v>0.56699999999999995</v>
      </c>
      <c r="N213" s="156">
        <v>0.77268000000000003</v>
      </c>
      <c r="O213" s="156">
        <v>0.62213407799999998</v>
      </c>
      <c r="P213" s="156">
        <v>2.2999999999999998</v>
      </c>
      <c r="Q213" s="159">
        <v>-0.205794</v>
      </c>
    </row>
    <row r="214" spans="1:17" ht="15" x14ac:dyDescent="0.25">
      <c r="A214" s="163" t="s">
        <v>604</v>
      </c>
      <c r="B214" s="163" t="s">
        <v>608</v>
      </c>
      <c r="C214" s="163">
        <v>341</v>
      </c>
      <c r="D214" s="163">
        <v>28050</v>
      </c>
      <c r="E214" s="163">
        <v>10375</v>
      </c>
      <c r="F214" s="163">
        <v>865</v>
      </c>
      <c r="G214" s="163">
        <v>11370</v>
      </c>
      <c r="H214" s="163">
        <v>2.7036099999999998</v>
      </c>
      <c r="I214" s="163">
        <v>1.95</v>
      </c>
      <c r="J214" s="163">
        <v>1.04996</v>
      </c>
      <c r="K214" s="163">
        <v>718.721</v>
      </c>
      <c r="L214" s="163">
        <v>6.4786300000000005E-2</v>
      </c>
      <c r="M214" s="163">
        <v>0.56699999999999995</v>
      </c>
      <c r="N214" s="163">
        <v>0.77268000000000003</v>
      </c>
      <c r="O214" s="163">
        <v>0.62213407799999998</v>
      </c>
      <c r="P214" s="163">
        <v>2.2999999999999998</v>
      </c>
      <c r="Q214" s="164">
        <v>0.313726</v>
      </c>
    </row>
    <row r="215" spans="1:17" ht="15" x14ac:dyDescent="0.25">
      <c r="A215" s="156" t="s">
        <v>604</v>
      </c>
      <c r="B215" s="156" t="s">
        <v>641</v>
      </c>
      <c r="C215" s="156">
        <v>5750</v>
      </c>
      <c r="D215" s="156">
        <v>17074</v>
      </c>
      <c r="E215" s="156">
        <v>5776</v>
      </c>
      <c r="F215" s="156">
        <v>42</v>
      </c>
      <c r="G215" s="156">
        <v>7099</v>
      </c>
      <c r="H215" s="156">
        <v>2.9560200000000001</v>
      </c>
      <c r="I215" s="156">
        <v>1.95</v>
      </c>
      <c r="J215" s="156">
        <v>1.11744</v>
      </c>
      <c r="K215" s="156">
        <v>1028.32</v>
      </c>
      <c r="L215" s="156">
        <v>0.15112800000000001</v>
      </c>
      <c r="M215" s="156">
        <v>0.56699999999999995</v>
      </c>
      <c r="N215" s="156">
        <v>0.77268000000000003</v>
      </c>
      <c r="O215" s="156">
        <v>0.62213407799999998</v>
      </c>
      <c r="P215" s="156">
        <v>2.2999999999999998</v>
      </c>
      <c r="Q215" s="159">
        <v>0.324299</v>
      </c>
    </row>
    <row r="216" spans="1:17" ht="15" x14ac:dyDescent="0.25">
      <c r="A216" s="163" t="s">
        <v>604</v>
      </c>
      <c r="B216" s="163" t="s">
        <v>663</v>
      </c>
      <c r="C216" s="163">
        <v>6920</v>
      </c>
      <c r="D216" s="163">
        <v>7644</v>
      </c>
      <c r="E216" s="163">
        <v>2582</v>
      </c>
      <c r="F216" s="163">
        <v>32</v>
      </c>
      <c r="G216" s="163">
        <v>2811</v>
      </c>
      <c r="H216" s="163">
        <v>2.9605000000000001</v>
      </c>
      <c r="I216" s="163">
        <v>1.95</v>
      </c>
      <c r="J216" s="163">
        <v>1.0781400000000001</v>
      </c>
      <c r="K216" s="163">
        <v>306.31400000000002</v>
      </c>
      <c r="L216" s="163">
        <v>0.10605299999999999</v>
      </c>
      <c r="M216" s="163">
        <v>0.56699999999999995</v>
      </c>
      <c r="N216" s="163">
        <v>0.77268000000000003</v>
      </c>
      <c r="O216" s="163">
        <v>0.62213407799999998</v>
      </c>
      <c r="P216" s="163">
        <v>2.2999999999999998</v>
      </c>
      <c r="Q216" s="164">
        <v>-0.45604800000000001</v>
      </c>
    </row>
    <row r="217" spans="1:17" ht="15" x14ac:dyDescent="0.25">
      <c r="A217" s="156" t="s">
        <v>604</v>
      </c>
      <c r="B217" s="156" t="s">
        <v>612</v>
      </c>
      <c r="C217" s="156">
        <v>645</v>
      </c>
      <c r="D217" s="156">
        <v>7479</v>
      </c>
      <c r="E217" s="156">
        <v>2766</v>
      </c>
      <c r="F217" s="156">
        <v>0</v>
      </c>
      <c r="G217" s="156">
        <v>3495</v>
      </c>
      <c r="H217" s="156">
        <v>2.7039</v>
      </c>
      <c r="I217" s="156">
        <v>1.95</v>
      </c>
      <c r="J217" s="156">
        <v>1.0811599999999999</v>
      </c>
      <c r="K217" s="156">
        <v>311.27199999999999</v>
      </c>
      <c r="L217" s="156">
        <v>0.10115200000000001</v>
      </c>
      <c r="M217" s="156">
        <v>0.56699999999999995</v>
      </c>
      <c r="N217" s="156">
        <v>0.77268000000000003</v>
      </c>
      <c r="O217" s="156">
        <v>0.62213407799999998</v>
      </c>
      <c r="P217" s="156">
        <v>2.2999999999999998</v>
      </c>
      <c r="Q217" s="159">
        <v>-0.425678</v>
      </c>
    </row>
    <row r="218" spans="1:17" ht="15" x14ac:dyDescent="0.25">
      <c r="A218" s="163" t="s">
        <v>604</v>
      </c>
      <c r="B218" s="163" t="s">
        <v>644</v>
      </c>
      <c r="C218" s="163">
        <v>5870</v>
      </c>
      <c r="D218" s="163">
        <v>6029</v>
      </c>
      <c r="E218" s="163">
        <v>2633</v>
      </c>
      <c r="F218" s="163">
        <v>34</v>
      </c>
      <c r="G218" s="163">
        <v>3617</v>
      </c>
      <c r="H218" s="163">
        <v>2.2897799999999999</v>
      </c>
      <c r="I218" s="163">
        <v>1.95</v>
      </c>
      <c r="J218" s="163">
        <v>1.19787</v>
      </c>
      <c r="K218" s="163">
        <v>611.77200000000005</v>
      </c>
      <c r="L218" s="163">
        <v>0.18854099999999999</v>
      </c>
      <c r="M218" s="163">
        <v>0.56699999999999995</v>
      </c>
      <c r="N218" s="163">
        <v>0.77268000000000003</v>
      </c>
      <c r="O218" s="163">
        <v>0.62213407799999998</v>
      </c>
      <c r="P218" s="163">
        <v>2.2999999999999998</v>
      </c>
      <c r="Q218" s="164">
        <v>-0.124001</v>
      </c>
    </row>
    <row r="219" spans="1:17" ht="15" x14ac:dyDescent="0.25">
      <c r="A219" s="156" t="s">
        <v>604</v>
      </c>
      <c r="B219" s="156" t="s">
        <v>687</v>
      </c>
      <c r="C219" s="156">
        <v>8522</v>
      </c>
      <c r="D219" s="156">
        <v>43511</v>
      </c>
      <c r="E219" s="156">
        <v>15140</v>
      </c>
      <c r="F219" s="156">
        <v>137</v>
      </c>
      <c r="G219" s="156">
        <v>18478</v>
      </c>
      <c r="H219" s="156">
        <v>2.87391</v>
      </c>
      <c r="I219" s="156">
        <v>1.95</v>
      </c>
      <c r="J219" s="156">
        <v>1.0980099999999999</v>
      </c>
      <c r="K219" s="156">
        <v>2186.83</v>
      </c>
      <c r="L219" s="156">
        <v>0.12620999999999999</v>
      </c>
      <c r="M219" s="156">
        <v>0.56699999999999995</v>
      </c>
      <c r="N219" s="156">
        <v>0.77268000000000003</v>
      </c>
      <c r="O219" s="156">
        <v>0.62213407799999998</v>
      </c>
      <c r="P219" s="156">
        <v>2.2999999999999998</v>
      </c>
      <c r="Q219" s="159">
        <v>-0.31292999999999999</v>
      </c>
    </row>
    <row r="220" spans="1:17" ht="15" x14ac:dyDescent="0.25">
      <c r="A220" s="163" t="s">
        <v>604</v>
      </c>
      <c r="B220" s="163" t="s">
        <v>660</v>
      </c>
      <c r="C220" s="163">
        <v>6624</v>
      </c>
      <c r="D220" s="163">
        <v>11926</v>
      </c>
      <c r="E220" s="163">
        <v>4908</v>
      </c>
      <c r="F220" s="163">
        <v>131</v>
      </c>
      <c r="G220" s="163">
        <v>5692</v>
      </c>
      <c r="H220" s="163">
        <v>2.42991</v>
      </c>
      <c r="I220" s="163">
        <v>1.95</v>
      </c>
      <c r="J220" s="163">
        <v>1.0803499999999999</v>
      </c>
      <c r="K220" s="163">
        <v>491.38200000000001</v>
      </c>
      <c r="L220" s="163">
        <v>9.1007099999999994E-2</v>
      </c>
      <c r="M220" s="163">
        <v>0.56699999999999995</v>
      </c>
      <c r="N220" s="163">
        <v>0.77268000000000003</v>
      </c>
      <c r="O220" s="163">
        <v>0.62213407799999998</v>
      </c>
      <c r="P220" s="163">
        <v>2.2999999999999998</v>
      </c>
      <c r="Q220" s="164">
        <v>-0.229042</v>
      </c>
    </row>
    <row r="221" spans="1:17" ht="15" x14ac:dyDescent="0.25">
      <c r="A221" s="156" t="s">
        <v>604</v>
      </c>
      <c r="B221" s="156" t="s">
        <v>635</v>
      </c>
      <c r="C221" s="156">
        <v>4658</v>
      </c>
      <c r="D221" s="156">
        <v>31979</v>
      </c>
      <c r="E221" s="156">
        <v>13127</v>
      </c>
      <c r="F221" s="156">
        <v>268</v>
      </c>
      <c r="G221" s="156">
        <v>15013</v>
      </c>
      <c r="H221" s="156">
        <v>2.4361199999999998</v>
      </c>
      <c r="I221" s="156">
        <v>1.95</v>
      </c>
      <c r="J221" s="156">
        <v>1.17014</v>
      </c>
      <c r="K221" s="156">
        <v>2790.29</v>
      </c>
      <c r="L221" s="156">
        <v>0.17529900000000001</v>
      </c>
      <c r="M221" s="156">
        <v>0.56699999999999995</v>
      </c>
      <c r="N221" s="156">
        <v>0.77268000000000003</v>
      </c>
      <c r="O221" s="156">
        <v>0.62213407799999998</v>
      </c>
      <c r="P221" s="156">
        <v>2.2999999999999998</v>
      </c>
      <c r="Q221" s="159">
        <v>0.13119900000000001</v>
      </c>
    </row>
    <row r="222" spans="1:17" ht="15" x14ac:dyDescent="0.25">
      <c r="A222" s="163" t="s">
        <v>604</v>
      </c>
      <c r="B222" s="163" t="s">
        <v>637</v>
      </c>
      <c r="C222" s="163">
        <v>4912</v>
      </c>
      <c r="D222" s="163">
        <v>188691</v>
      </c>
      <c r="E222" s="163">
        <v>76431</v>
      </c>
      <c r="F222" s="163">
        <v>7395</v>
      </c>
      <c r="G222" s="163">
        <v>84366</v>
      </c>
      <c r="H222" s="163">
        <v>2.4687800000000002</v>
      </c>
      <c r="I222" s="163">
        <v>1.95</v>
      </c>
      <c r="J222" s="163">
        <v>1.04905</v>
      </c>
      <c r="K222" s="163">
        <v>4746.5200000000004</v>
      </c>
      <c r="L222" s="163">
        <v>5.8470899999999999E-2</v>
      </c>
      <c r="M222" s="163">
        <v>0.56699999999999995</v>
      </c>
      <c r="N222" s="163">
        <v>0.77268000000000003</v>
      </c>
      <c r="O222" s="163">
        <v>0.62213407799999998</v>
      </c>
      <c r="P222" s="163">
        <v>2.2999999999999998</v>
      </c>
      <c r="Q222" s="164">
        <v>0.22267400000000001</v>
      </c>
    </row>
    <row r="223" spans="1:17" ht="15" x14ac:dyDescent="0.25">
      <c r="A223" s="156" t="s">
        <v>604</v>
      </c>
      <c r="B223" s="156" t="s">
        <v>648</v>
      </c>
      <c r="C223" s="156">
        <v>6124</v>
      </c>
      <c r="D223" s="156">
        <v>9173</v>
      </c>
      <c r="E223" s="156">
        <v>3811</v>
      </c>
      <c r="F223" s="156">
        <v>0</v>
      </c>
      <c r="G223" s="156">
        <v>4190</v>
      </c>
      <c r="H223" s="156">
        <v>2.4069799999999999</v>
      </c>
      <c r="I223" s="156">
        <v>1.95</v>
      </c>
      <c r="J223" s="156">
        <v>1.0557000000000001</v>
      </c>
      <c r="K223" s="156">
        <v>262.02600000000001</v>
      </c>
      <c r="L223" s="156">
        <v>6.4332E-2</v>
      </c>
      <c r="M223" s="156">
        <v>0.56699999999999995</v>
      </c>
      <c r="N223" s="156">
        <v>0.77268000000000003</v>
      </c>
      <c r="O223" s="156">
        <v>0.62213407799999998</v>
      </c>
      <c r="P223" s="156">
        <v>2.2999999999999998</v>
      </c>
      <c r="Q223" s="159">
        <v>0.35047499999999998</v>
      </c>
    </row>
    <row r="224" spans="1:17" ht="15" x14ac:dyDescent="0.25">
      <c r="A224" s="163" t="s">
        <v>604</v>
      </c>
      <c r="B224" s="163" t="s">
        <v>685</v>
      </c>
      <c r="C224" s="163">
        <v>8468</v>
      </c>
      <c r="D224" s="163">
        <v>9268</v>
      </c>
      <c r="E224" s="163">
        <v>3498</v>
      </c>
      <c r="F224" s="163">
        <v>1471</v>
      </c>
      <c r="G224" s="163">
        <v>3995</v>
      </c>
      <c r="H224" s="163">
        <v>2.6495099999999998</v>
      </c>
      <c r="I224" s="163">
        <v>1.95</v>
      </c>
      <c r="J224" s="163">
        <v>1.11354</v>
      </c>
      <c r="K224" s="163">
        <v>539.63</v>
      </c>
      <c r="L224" s="163">
        <v>0.13364999999999999</v>
      </c>
      <c r="M224" s="163">
        <v>0.56699999999999995</v>
      </c>
      <c r="N224" s="163">
        <v>0.77268000000000003</v>
      </c>
      <c r="O224" s="163">
        <v>0.62213407799999998</v>
      </c>
      <c r="P224" s="163">
        <v>2.2999999999999998</v>
      </c>
      <c r="Q224" s="164">
        <v>-0.19209999999999999</v>
      </c>
    </row>
    <row r="225" spans="1:17" ht="15" x14ac:dyDescent="0.25">
      <c r="A225" s="156" t="s">
        <v>604</v>
      </c>
      <c r="B225" s="156" t="s">
        <v>633</v>
      </c>
      <c r="C225" s="156">
        <v>4607</v>
      </c>
      <c r="D225" s="156">
        <v>91379</v>
      </c>
      <c r="E225" s="156">
        <v>37109</v>
      </c>
      <c r="F225" s="156">
        <v>930</v>
      </c>
      <c r="G225" s="156">
        <v>41908</v>
      </c>
      <c r="H225" s="156">
        <v>2.46245</v>
      </c>
      <c r="I225" s="156">
        <v>1.95</v>
      </c>
      <c r="J225" s="156">
        <v>1.0610299999999999</v>
      </c>
      <c r="K225" s="156">
        <v>2860.03</v>
      </c>
      <c r="L225" s="156">
        <v>7.15562E-2</v>
      </c>
      <c r="M225" s="156">
        <v>0.56699999999999995</v>
      </c>
      <c r="N225" s="156">
        <v>0.77268000000000003</v>
      </c>
      <c r="O225" s="156">
        <v>0.62213407799999998</v>
      </c>
      <c r="P225" s="156">
        <v>2.2999999999999998</v>
      </c>
      <c r="Q225" s="159">
        <v>2.24017E-2</v>
      </c>
    </row>
    <row r="226" spans="1:17" ht="15" x14ac:dyDescent="0.25">
      <c r="A226" s="163" t="s">
        <v>604</v>
      </c>
      <c r="B226" s="163" t="s">
        <v>631</v>
      </c>
      <c r="C226" s="163">
        <v>4441</v>
      </c>
      <c r="D226" s="163">
        <v>1272</v>
      </c>
      <c r="E226" s="163">
        <v>343</v>
      </c>
      <c r="F226" s="163">
        <v>0</v>
      </c>
      <c r="G226" s="163">
        <v>367</v>
      </c>
      <c r="H226" s="163">
        <v>3.70845</v>
      </c>
      <c r="I226" s="163">
        <v>1.95</v>
      </c>
      <c r="J226" s="163">
        <v>1.06477</v>
      </c>
      <c r="K226" s="163">
        <v>42.250300000000003</v>
      </c>
      <c r="L226" s="163">
        <v>0.10967</v>
      </c>
      <c r="M226" s="163">
        <v>0.56699999999999995</v>
      </c>
      <c r="N226" s="163">
        <v>0.77268000000000003</v>
      </c>
      <c r="O226" s="163">
        <v>0.62213407799999998</v>
      </c>
      <c r="P226" s="163">
        <v>2.2999999999999998</v>
      </c>
      <c r="Q226" s="164">
        <v>-1.28041</v>
      </c>
    </row>
    <row r="227" spans="1:17" ht="15" x14ac:dyDescent="0.25">
      <c r="A227" s="156" t="s">
        <v>604</v>
      </c>
      <c r="B227" s="156" t="s">
        <v>631</v>
      </c>
      <c r="C227" s="156">
        <v>7333</v>
      </c>
      <c r="D227" s="156">
        <v>1037</v>
      </c>
      <c r="E227" s="156">
        <v>339</v>
      </c>
      <c r="F227" s="156">
        <v>0</v>
      </c>
      <c r="G227" s="156">
        <v>409</v>
      </c>
      <c r="H227" s="156">
        <v>3.0590000000000002</v>
      </c>
      <c r="I227" s="156">
        <v>1.95</v>
      </c>
      <c r="J227" s="156">
        <v>1.0415300000000001</v>
      </c>
      <c r="K227" s="156">
        <v>22.083200000000001</v>
      </c>
      <c r="L227" s="156">
        <v>6.1158299999999999E-2</v>
      </c>
      <c r="M227" s="156">
        <v>0.56699999999999995</v>
      </c>
      <c r="N227" s="156">
        <v>0.77268000000000003</v>
      </c>
      <c r="O227" s="156">
        <v>0.62213407799999998</v>
      </c>
      <c r="P227" s="156">
        <v>2.2999999999999998</v>
      </c>
      <c r="Q227" s="159">
        <v>-0.65917300000000001</v>
      </c>
    </row>
    <row r="228" spans="1:17" ht="15" x14ac:dyDescent="0.25">
      <c r="A228" s="163" t="s">
        <v>604</v>
      </c>
      <c r="B228" s="163" t="s">
        <v>833</v>
      </c>
      <c r="C228" s="163">
        <v>8370</v>
      </c>
      <c r="D228" s="163">
        <v>321</v>
      </c>
      <c r="E228" s="163">
        <v>164</v>
      </c>
      <c r="F228" s="163">
        <v>0</v>
      </c>
      <c r="G228" s="163">
        <v>185</v>
      </c>
      <c r="H228" s="163">
        <v>1.9573199999999999</v>
      </c>
      <c r="I228" s="163">
        <v>1.95</v>
      </c>
      <c r="J228" s="163">
        <v>1.1802699999999999</v>
      </c>
      <c r="K228" s="163">
        <v>29.674399999999999</v>
      </c>
      <c r="L228" s="163">
        <v>0.15321799999999999</v>
      </c>
      <c r="M228" s="163">
        <v>0.56699999999999995</v>
      </c>
      <c r="N228" s="163">
        <v>0.77268000000000003</v>
      </c>
      <c r="O228" s="163">
        <v>0.62213407799999998</v>
      </c>
      <c r="P228" s="163">
        <v>2.2999999999999998</v>
      </c>
      <c r="Q228" s="164">
        <v>-0.58348999999999995</v>
      </c>
    </row>
    <row r="229" spans="1:17" ht="15" x14ac:dyDescent="0.25">
      <c r="A229" s="156" t="s">
        <v>604</v>
      </c>
      <c r="B229" s="156" t="s">
        <v>834</v>
      </c>
      <c r="C229" s="156">
        <v>12655</v>
      </c>
      <c r="D229" s="156">
        <v>5023</v>
      </c>
      <c r="E229" s="156">
        <v>1713</v>
      </c>
      <c r="F229" s="156">
        <v>0</v>
      </c>
      <c r="G229" s="156">
        <v>2351</v>
      </c>
      <c r="H229" s="156">
        <v>2.93228</v>
      </c>
      <c r="I229" s="156">
        <v>1.95</v>
      </c>
      <c r="J229" s="156">
        <v>1.0696000000000001</v>
      </c>
      <c r="K229" s="156">
        <v>179.27</v>
      </c>
      <c r="L229" s="156">
        <v>9.4738299999999998E-2</v>
      </c>
      <c r="M229" s="156">
        <v>0.56699999999999995</v>
      </c>
      <c r="N229" s="156">
        <v>0.77268000000000003</v>
      </c>
      <c r="O229" s="156">
        <v>0.62213407799999998</v>
      </c>
      <c r="P229" s="156">
        <v>2.2999999999999998</v>
      </c>
      <c r="Q229" s="159">
        <v>-1.7962</v>
      </c>
    </row>
    <row r="230" spans="1:17" ht="15" x14ac:dyDescent="0.25">
      <c r="A230" s="163" t="s">
        <v>604</v>
      </c>
      <c r="B230" s="163" t="s">
        <v>523</v>
      </c>
      <c r="C230" s="163">
        <v>7653</v>
      </c>
      <c r="D230" s="163">
        <v>1397</v>
      </c>
      <c r="E230" s="163">
        <v>524</v>
      </c>
      <c r="F230" s="163">
        <v>0</v>
      </c>
      <c r="G230" s="163">
        <v>562</v>
      </c>
      <c r="H230" s="163">
        <v>2.6660300000000001</v>
      </c>
      <c r="I230" s="163">
        <v>1.95</v>
      </c>
      <c r="J230" s="163">
        <v>1.0206500000000001</v>
      </c>
      <c r="K230" s="163">
        <v>14.7911</v>
      </c>
      <c r="L230" s="163">
        <v>2.7452299999999999E-2</v>
      </c>
      <c r="M230" s="163">
        <v>0.56699999999999995</v>
      </c>
      <c r="N230" s="163">
        <v>0.77268000000000003</v>
      </c>
      <c r="O230" s="163">
        <v>0.62213407799999998</v>
      </c>
      <c r="P230" s="163">
        <v>2.2999999999999998</v>
      </c>
      <c r="Q230" s="164">
        <v>-0.45805499999999999</v>
      </c>
    </row>
    <row r="231" spans="1:17" ht="15" x14ac:dyDescent="0.25">
      <c r="A231" s="156" t="s">
        <v>604</v>
      </c>
      <c r="B231" s="156" t="s">
        <v>523</v>
      </c>
      <c r="C231" s="156">
        <v>7878</v>
      </c>
      <c r="D231" s="156">
        <v>3509</v>
      </c>
      <c r="E231" s="156">
        <v>1362</v>
      </c>
      <c r="F231" s="156">
        <v>51</v>
      </c>
      <c r="G231" s="156">
        <v>1424</v>
      </c>
      <c r="H231" s="156">
        <v>2.5763600000000002</v>
      </c>
      <c r="I231" s="156">
        <v>1.95</v>
      </c>
      <c r="J231" s="156">
        <v>1.0644400000000001</v>
      </c>
      <c r="K231" s="156">
        <v>115.958</v>
      </c>
      <c r="L231" s="156">
        <v>7.8458200000000006E-2</v>
      </c>
      <c r="M231" s="156">
        <v>0.56699999999999995</v>
      </c>
      <c r="N231" s="156">
        <v>0.77268000000000003</v>
      </c>
      <c r="O231" s="156">
        <v>0.62213407799999998</v>
      </c>
      <c r="P231" s="156">
        <v>2.2999999999999998</v>
      </c>
      <c r="Q231" s="159">
        <v>-0.43560700000000002</v>
      </c>
    </row>
    <row r="232" spans="1:17" ht="15" x14ac:dyDescent="0.25">
      <c r="A232" s="163" t="s">
        <v>604</v>
      </c>
      <c r="B232" s="163" t="s">
        <v>523</v>
      </c>
      <c r="C232" s="163">
        <v>9336</v>
      </c>
      <c r="D232" s="163">
        <v>806</v>
      </c>
      <c r="E232" s="163">
        <v>310</v>
      </c>
      <c r="F232" s="163">
        <v>0</v>
      </c>
      <c r="G232" s="163">
        <v>338</v>
      </c>
      <c r="H232" s="163">
        <v>2.6</v>
      </c>
      <c r="I232" s="163">
        <v>1.95</v>
      </c>
      <c r="J232" s="163">
        <v>1.0549299999999999</v>
      </c>
      <c r="K232" s="163">
        <v>22.702400000000001</v>
      </c>
      <c r="L232" s="163">
        <v>6.8236400000000003E-2</v>
      </c>
      <c r="M232" s="163">
        <v>0.56699999999999995</v>
      </c>
      <c r="N232" s="163">
        <v>0.77268000000000003</v>
      </c>
      <c r="O232" s="163">
        <v>0.62213407799999998</v>
      </c>
      <c r="P232" s="163">
        <v>2.2999999999999998</v>
      </c>
      <c r="Q232" s="164">
        <v>-0.40730699999999997</v>
      </c>
    </row>
    <row r="233" spans="1:17" ht="15" x14ac:dyDescent="0.25">
      <c r="A233" s="156" t="s">
        <v>604</v>
      </c>
      <c r="B233" s="156" t="s">
        <v>616</v>
      </c>
      <c r="C233" s="156">
        <v>1625</v>
      </c>
      <c r="D233" s="156">
        <v>1666</v>
      </c>
      <c r="E233" s="156">
        <v>855</v>
      </c>
      <c r="F233" s="156">
        <v>0</v>
      </c>
      <c r="G233" s="156">
        <v>1025</v>
      </c>
      <c r="H233" s="156">
        <v>1.9485399999999999</v>
      </c>
      <c r="I233" s="156">
        <v>1.95</v>
      </c>
      <c r="J233" s="156">
        <v>1.1099699999999999</v>
      </c>
      <c r="K233" s="156">
        <v>93.956800000000001</v>
      </c>
      <c r="L233" s="156">
        <v>9.9010600000000004E-2</v>
      </c>
      <c r="M233" s="156">
        <v>0.56699999999999995</v>
      </c>
      <c r="N233" s="156">
        <v>0.77268000000000003</v>
      </c>
      <c r="O233" s="156">
        <v>0.62213407799999998</v>
      </c>
      <c r="P233" s="156">
        <v>2.2999999999999998</v>
      </c>
      <c r="Q233" s="159">
        <v>-0.13492999999999999</v>
      </c>
    </row>
    <row r="234" spans="1:17" ht="15" x14ac:dyDescent="0.25">
      <c r="A234" s="163" t="s">
        <v>604</v>
      </c>
      <c r="B234" s="163" t="s">
        <v>835</v>
      </c>
      <c r="C234" s="163">
        <v>8684</v>
      </c>
      <c r="D234" s="163">
        <v>1274</v>
      </c>
      <c r="E234" s="163">
        <v>466</v>
      </c>
      <c r="F234" s="163">
        <v>0</v>
      </c>
      <c r="G234" s="163">
        <v>664</v>
      </c>
      <c r="H234" s="163">
        <v>2.7339099999999998</v>
      </c>
      <c r="I234" s="163">
        <v>1.95</v>
      </c>
      <c r="J234" s="163">
        <v>1.04996</v>
      </c>
      <c r="K234" s="163">
        <v>32.643500000000003</v>
      </c>
      <c r="L234" s="163">
        <v>6.5464599999999998E-2</v>
      </c>
      <c r="M234" s="163">
        <v>0.56699999999999995</v>
      </c>
      <c r="N234" s="163">
        <v>0.77268000000000003</v>
      </c>
      <c r="O234" s="163">
        <v>0.62213407799999998</v>
      </c>
      <c r="P234" s="163">
        <v>2.2999999999999998</v>
      </c>
      <c r="Q234" s="164">
        <v>-6.2351499999999997E-2</v>
      </c>
    </row>
    <row r="235" spans="1:17" ht="15" x14ac:dyDescent="0.25">
      <c r="A235" s="156" t="s">
        <v>604</v>
      </c>
      <c r="B235" s="156" t="s">
        <v>836</v>
      </c>
      <c r="C235" s="156">
        <v>6105</v>
      </c>
      <c r="D235" s="156">
        <v>172</v>
      </c>
      <c r="E235" s="156">
        <v>57</v>
      </c>
      <c r="F235" s="156">
        <v>0</v>
      </c>
      <c r="G235" s="156">
        <v>81</v>
      </c>
      <c r="H235" s="156">
        <v>3.0175399999999999</v>
      </c>
      <c r="I235" s="156">
        <v>1.95</v>
      </c>
      <c r="J235" s="156">
        <v>1.0206500000000001</v>
      </c>
      <c r="K235" s="156">
        <v>1.8210900000000001</v>
      </c>
      <c r="L235" s="156">
        <v>3.0959799999999999E-2</v>
      </c>
      <c r="M235" s="156">
        <v>0.56699999999999995</v>
      </c>
      <c r="N235" s="156">
        <v>0.77268000000000003</v>
      </c>
      <c r="O235" s="156">
        <v>0.62213407799999998</v>
      </c>
      <c r="P235" s="156">
        <v>2.2999999999999998</v>
      </c>
      <c r="Q235" s="159">
        <v>-0.73920300000000005</v>
      </c>
    </row>
    <row r="236" spans="1:17" ht="15" x14ac:dyDescent="0.25">
      <c r="A236" s="163" t="s">
        <v>604</v>
      </c>
      <c r="B236" s="163" t="s">
        <v>639</v>
      </c>
      <c r="C236" s="163">
        <v>21107</v>
      </c>
      <c r="D236" s="163">
        <v>2495</v>
      </c>
      <c r="E236" s="163">
        <v>1073</v>
      </c>
      <c r="F236" s="163">
        <v>0</v>
      </c>
      <c r="G236" s="163">
        <v>1378</v>
      </c>
      <c r="H236" s="163">
        <v>2.3252600000000001</v>
      </c>
      <c r="I236" s="163">
        <v>1.95</v>
      </c>
      <c r="J236" s="163">
        <v>1.0980099999999999</v>
      </c>
      <c r="K236" s="163">
        <v>125.39700000000001</v>
      </c>
      <c r="L236" s="163">
        <v>0.10463699999999999</v>
      </c>
      <c r="M236" s="163">
        <v>0.56699999999999995</v>
      </c>
      <c r="N236" s="163">
        <v>0.77268000000000003</v>
      </c>
      <c r="O236" s="163">
        <v>0.62213407799999998</v>
      </c>
      <c r="P236" s="163">
        <v>2.2999999999999998</v>
      </c>
      <c r="Q236" s="163">
        <v>-0.44907000000000002</v>
      </c>
    </row>
    <row r="237" spans="1:17" ht="15" x14ac:dyDescent="0.25">
      <c r="A237" s="156" t="s">
        <v>604</v>
      </c>
      <c r="B237" s="156" t="s">
        <v>837</v>
      </c>
      <c r="C237" s="156">
        <v>12800</v>
      </c>
      <c r="D237" s="156">
        <v>1364</v>
      </c>
      <c r="E237" s="156">
        <v>413</v>
      </c>
      <c r="F237" s="156">
        <v>0</v>
      </c>
      <c r="G237" s="156">
        <v>574</v>
      </c>
      <c r="H237" s="156">
        <v>3.3026599999999999</v>
      </c>
      <c r="I237" s="156">
        <v>1.95</v>
      </c>
      <c r="J237" s="156">
        <v>1.1231500000000001</v>
      </c>
      <c r="K237" s="156">
        <v>86.145099999999999</v>
      </c>
      <c r="L237" s="156">
        <v>0.17258499999999999</v>
      </c>
      <c r="M237" s="156">
        <v>0.56699999999999995</v>
      </c>
      <c r="N237" s="156">
        <v>0.77268000000000003</v>
      </c>
      <c r="O237" s="156">
        <v>0.62213407799999998</v>
      </c>
      <c r="P237" s="156">
        <v>2.2999999999999998</v>
      </c>
      <c r="Q237" s="159">
        <v>0.43300899999999998</v>
      </c>
    </row>
    <row r="238" spans="1:17" ht="15" x14ac:dyDescent="0.25">
      <c r="A238" s="163" t="s">
        <v>604</v>
      </c>
      <c r="B238" s="163" t="s">
        <v>838</v>
      </c>
      <c r="C238" s="163">
        <v>6893</v>
      </c>
      <c r="D238" s="163">
        <v>236</v>
      </c>
      <c r="E238" s="163">
        <v>148</v>
      </c>
      <c r="F238" s="163">
        <v>0</v>
      </c>
      <c r="G238" s="163">
        <v>185</v>
      </c>
      <c r="H238" s="163">
        <v>1.59459</v>
      </c>
      <c r="I238" s="163">
        <v>1.95</v>
      </c>
      <c r="J238" s="163">
        <v>1.1122300000000001</v>
      </c>
      <c r="K238" s="163">
        <v>13.5831</v>
      </c>
      <c r="L238" s="163">
        <v>8.4062700000000004E-2</v>
      </c>
      <c r="M238" s="163">
        <v>0.56699999999999995</v>
      </c>
      <c r="N238" s="163">
        <v>0.77268000000000003</v>
      </c>
      <c r="O238" s="163">
        <v>0.62213407799999998</v>
      </c>
      <c r="P238" s="163">
        <v>2.2999999999999998</v>
      </c>
      <c r="Q238" s="164">
        <v>0.10958900000000001</v>
      </c>
    </row>
    <row r="239" spans="1:17" ht="15" x14ac:dyDescent="0.25">
      <c r="A239" s="156" t="s">
        <v>604</v>
      </c>
      <c r="B239" s="156" t="s">
        <v>839</v>
      </c>
      <c r="C239" s="156">
        <v>12899</v>
      </c>
      <c r="D239" s="156">
        <v>229</v>
      </c>
      <c r="E239" s="156">
        <v>124</v>
      </c>
      <c r="F239" s="156">
        <v>0</v>
      </c>
      <c r="G239" s="156">
        <v>243</v>
      </c>
      <c r="H239" s="156">
        <v>1.84677</v>
      </c>
      <c r="I239" s="156">
        <v>1.95</v>
      </c>
      <c r="J239" s="156">
        <v>1.05332</v>
      </c>
      <c r="K239" s="156">
        <v>6.2618600000000004</v>
      </c>
      <c r="L239" s="156">
        <v>4.8071299999999997E-2</v>
      </c>
      <c r="M239" s="156">
        <v>0.56699999999999995</v>
      </c>
      <c r="N239" s="156">
        <v>0.77268000000000003</v>
      </c>
      <c r="O239" s="156">
        <v>0.62213407799999998</v>
      </c>
      <c r="P239" s="156">
        <v>2.2999999999999998</v>
      </c>
      <c r="Q239" s="159">
        <v>-3.0849499999999998E-2</v>
      </c>
    </row>
    <row r="240" spans="1:17" ht="15" x14ac:dyDescent="0.25">
      <c r="A240" s="163" t="s">
        <v>604</v>
      </c>
      <c r="B240" s="163" t="s">
        <v>618</v>
      </c>
      <c r="C240" s="163">
        <v>2083</v>
      </c>
      <c r="D240" s="163">
        <v>343</v>
      </c>
      <c r="E240" s="163">
        <v>130</v>
      </c>
      <c r="F240" s="163">
        <v>0</v>
      </c>
      <c r="G240" s="163">
        <v>139</v>
      </c>
      <c r="H240" s="163">
        <v>2.6384599999999998</v>
      </c>
      <c r="I240" s="163">
        <v>1.95</v>
      </c>
      <c r="J240" s="163">
        <v>1.04996</v>
      </c>
      <c r="K240" s="163">
        <v>8.7886399999999991</v>
      </c>
      <c r="L240" s="163">
        <v>6.3323900000000002E-2</v>
      </c>
      <c r="M240" s="163">
        <v>0.56699999999999995</v>
      </c>
      <c r="N240" s="163">
        <v>0.77268000000000003</v>
      </c>
      <c r="O240" s="163">
        <v>0.62213407799999998</v>
      </c>
      <c r="P240" s="163">
        <v>2.2999999999999998</v>
      </c>
      <c r="Q240" s="164">
        <v>-0.569828</v>
      </c>
    </row>
    <row r="241" spans="1:17" ht="15" x14ac:dyDescent="0.25">
      <c r="A241" s="156" t="s">
        <v>604</v>
      </c>
      <c r="B241" s="156" t="s">
        <v>618</v>
      </c>
      <c r="C241" s="156">
        <v>3214</v>
      </c>
      <c r="D241" s="156">
        <v>1013</v>
      </c>
      <c r="E241" s="156">
        <v>349</v>
      </c>
      <c r="F241" s="156">
        <v>14</v>
      </c>
      <c r="G241" s="156">
        <v>362</v>
      </c>
      <c r="H241" s="156">
        <v>2.9025799999999999</v>
      </c>
      <c r="I241" s="156">
        <v>1.95</v>
      </c>
      <c r="J241" s="156">
        <v>1.0656000000000001</v>
      </c>
      <c r="K241" s="156">
        <v>34.0794</v>
      </c>
      <c r="L241" s="156">
        <v>8.8961600000000002E-2</v>
      </c>
      <c r="M241" s="156">
        <v>0.56699999999999995</v>
      </c>
      <c r="N241" s="156">
        <v>0.77268000000000003</v>
      </c>
      <c r="O241" s="156">
        <v>0.62213407799999998</v>
      </c>
      <c r="P241" s="156">
        <v>2.2999999999999998</v>
      </c>
      <c r="Q241" s="159">
        <v>-8.1699000000000008E-3</v>
      </c>
    </row>
    <row r="242" spans="1:17" ht="15" x14ac:dyDescent="0.25">
      <c r="A242" s="163" t="s">
        <v>604</v>
      </c>
      <c r="B242" s="163" t="s">
        <v>618</v>
      </c>
      <c r="C242" s="163">
        <v>6679</v>
      </c>
      <c r="D242" s="163">
        <v>270</v>
      </c>
      <c r="E242" s="163">
        <v>92</v>
      </c>
      <c r="F242" s="163">
        <v>0</v>
      </c>
      <c r="G242" s="163">
        <v>105</v>
      </c>
      <c r="H242" s="163">
        <v>2.9347799999999999</v>
      </c>
      <c r="I242" s="163">
        <v>1.95</v>
      </c>
      <c r="J242" s="163">
        <v>1.0980099999999999</v>
      </c>
      <c r="K242" s="163">
        <v>13.57</v>
      </c>
      <c r="L242" s="163">
        <v>0.12853999999999999</v>
      </c>
      <c r="M242" s="163">
        <v>0.56699999999999995</v>
      </c>
      <c r="N242" s="163">
        <v>0.77268000000000003</v>
      </c>
      <c r="O242" s="163">
        <v>0.62213407799999998</v>
      </c>
      <c r="P242" s="163">
        <v>2.2999999999999998</v>
      </c>
      <c r="Q242" s="164">
        <v>-2.5196E-2</v>
      </c>
    </row>
    <row r="243" spans="1:17" ht="15" x14ac:dyDescent="0.25">
      <c r="A243" s="156" t="s">
        <v>604</v>
      </c>
      <c r="B243" s="156" t="s">
        <v>618</v>
      </c>
      <c r="C243" s="156">
        <v>9569</v>
      </c>
      <c r="D243" s="156">
        <v>763</v>
      </c>
      <c r="E243" s="156">
        <v>243</v>
      </c>
      <c r="F243" s="156">
        <v>0</v>
      </c>
      <c r="G243" s="156">
        <v>264</v>
      </c>
      <c r="H243" s="156">
        <v>3.13992</v>
      </c>
      <c r="I243" s="156">
        <v>1.95</v>
      </c>
      <c r="J243" s="156">
        <v>1.0980099999999999</v>
      </c>
      <c r="K243" s="156">
        <v>38.347799999999999</v>
      </c>
      <c r="L243" s="156">
        <v>0.1363</v>
      </c>
      <c r="M243" s="156">
        <v>0.56699999999999995</v>
      </c>
      <c r="N243" s="156">
        <v>0.77268000000000003</v>
      </c>
      <c r="O243" s="156">
        <v>0.62213407799999998</v>
      </c>
      <c r="P243" s="156">
        <v>2.2999999999999998</v>
      </c>
      <c r="Q243" s="159">
        <v>-0.44907000000000002</v>
      </c>
    </row>
    <row r="244" spans="1:17" ht="15" x14ac:dyDescent="0.25">
      <c r="A244" s="163" t="s">
        <v>604</v>
      </c>
      <c r="B244" s="163" t="s">
        <v>840</v>
      </c>
      <c r="C244" s="163">
        <v>6308</v>
      </c>
      <c r="D244" s="163">
        <v>110</v>
      </c>
      <c r="E244" s="163">
        <v>79</v>
      </c>
      <c r="F244" s="163">
        <v>0</v>
      </c>
      <c r="G244" s="163">
        <v>84</v>
      </c>
      <c r="H244" s="163">
        <v>1.3924099999999999</v>
      </c>
      <c r="I244" s="163">
        <v>1.95</v>
      </c>
      <c r="J244" s="163">
        <v>1.21966</v>
      </c>
      <c r="K244" s="163">
        <v>12.3908</v>
      </c>
      <c r="L244" s="163">
        <v>0.13558100000000001</v>
      </c>
      <c r="M244" s="163">
        <v>0.56699999999999995</v>
      </c>
      <c r="N244" s="163">
        <v>0.77268000000000003</v>
      </c>
      <c r="O244" s="163">
        <v>0.62213407799999998</v>
      </c>
      <c r="P244" s="163">
        <v>2.2999999999999998</v>
      </c>
      <c r="Q244" s="164">
        <v>0.16</v>
      </c>
    </row>
    <row r="245" spans="1:17" ht="15" x14ac:dyDescent="0.25">
      <c r="A245" s="156" t="s">
        <v>604</v>
      </c>
      <c r="B245" s="156" t="s">
        <v>614</v>
      </c>
      <c r="C245" s="156">
        <v>1616</v>
      </c>
      <c r="D245" s="156">
        <v>686</v>
      </c>
      <c r="E245" s="156">
        <v>371</v>
      </c>
      <c r="F245" s="156">
        <v>0</v>
      </c>
      <c r="G245" s="156">
        <v>679</v>
      </c>
      <c r="H245" s="156">
        <v>1.8490599999999999</v>
      </c>
      <c r="I245" s="156">
        <v>1.95</v>
      </c>
      <c r="J245" s="156">
        <v>1.0980099999999999</v>
      </c>
      <c r="K245" s="156">
        <v>34.477800000000002</v>
      </c>
      <c r="L245" s="156">
        <v>8.5030099999999997E-2</v>
      </c>
      <c r="M245" s="156">
        <v>0.56699999999999995</v>
      </c>
      <c r="N245" s="156">
        <v>0.77268000000000003</v>
      </c>
      <c r="O245" s="156">
        <v>0.62213407799999998</v>
      </c>
      <c r="P245" s="156">
        <v>2.2999999999999998</v>
      </c>
      <c r="Q245" s="159">
        <v>-0.103645</v>
      </c>
    </row>
    <row r="246" spans="1:17" ht="15" x14ac:dyDescent="0.25">
      <c r="A246" s="163" t="s">
        <v>604</v>
      </c>
      <c r="B246" s="163" t="s">
        <v>674</v>
      </c>
      <c r="C246" s="163">
        <v>7557</v>
      </c>
      <c r="D246" s="163">
        <v>640</v>
      </c>
      <c r="E246" s="163">
        <v>334</v>
      </c>
      <c r="F246" s="163">
        <v>0</v>
      </c>
      <c r="G246" s="163">
        <v>629</v>
      </c>
      <c r="H246" s="163">
        <v>1.9161699999999999</v>
      </c>
      <c r="I246" s="163">
        <v>1.95</v>
      </c>
      <c r="J246" s="163">
        <v>1.19787</v>
      </c>
      <c r="K246" s="163">
        <v>64.941800000000001</v>
      </c>
      <c r="L246" s="163">
        <v>0.16278500000000001</v>
      </c>
      <c r="M246" s="163">
        <v>0.56699999999999995</v>
      </c>
      <c r="N246" s="163">
        <v>0.77268000000000003</v>
      </c>
      <c r="O246" s="163">
        <v>0.62213407799999998</v>
      </c>
      <c r="P246" s="163">
        <v>2.2999999999999998</v>
      </c>
      <c r="Q246" s="164">
        <v>-0.12878300000000001</v>
      </c>
    </row>
    <row r="247" spans="1:17" ht="15" x14ac:dyDescent="0.25">
      <c r="A247" s="156" t="s">
        <v>604</v>
      </c>
      <c r="B247" s="156" t="s">
        <v>841</v>
      </c>
      <c r="C247" s="156">
        <v>6152</v>
      </c>
      <c r="D247" s="156">
        <v>359</v>
      </c>
      <c r="E247" s="156">
        <v>208</v>
      </c>
      <c r="F247" s="156">
        <v>0</v>
      </c>
      <c r="G247" s="156">
        <v>288</v>
      </c>
      <c r="H247" s="156">
        <v>1.7259599999999999</v>
      </c>
      <c r="I247" s="156">
        <v>1.95</v>
      </c>
      <c r="J247" s="156">
        <v>1.1122300000000001</v>
      </c>
      <c r="K247" s="156">
        <v>20.662500000000001</v>
      </c>
      <c r="L247" s="156">
        <v>9.0362300000000007E-2</v>
      </c>
      <c r="M247" s="156">
        <v>0.56699999999999995</v>
      </c>
      <c r="N247" s="156">
        <v>0.77268000000000003</v>
      </c>
      <c r="O247" s="156">
        <v>0.62213407799999998</v>
      </c>
      <c r="P247" s="156">
        <v>2.2999999999999998</v>
      </c>
      <c r="Q247" s="159">
        <v>0.10958900000000001</v>
      </c>
    </row>
    <row r="248" spans="1:17" ht="15" x14ac:dyDescent="0.25">
      <c r="A248" s="163" t="s">
        <v>604</v>
      </c>
      <c r="B248" s="163" t="s">
        <v>610</v>
      </c>
      <c r="C248" s="163">
        <v>587</v>
      </c>
      <c r="D248" s="163">
        <v>176</v>
      </c>
      <c r="E248" s="163">
        <v>103</v>
      </c>
      <c r="F248" s="163">
        <v>0</v>
      </c>
      <c r="G248" s="163">
        <v>206</v>
      </c>
      <c r="H248" s="163">
        <v>1.7087399999999999</v>
      </c>
      <c r="I248" s="163">
        <v>1.95</v>
      </c>
      <c r="J248" s="163">
        <v>1.11354</v>
      </c>
      <c r="K248" s="163">
        <v>10.2476</v>
      </c>
      <c r="L248" s="163">
        <v>9.0488499999999999E-2</v>
      </c>
      <c r="M248" s="163">
        <v>0.56699999999999995</v>
      </c>
      <c r="N248" s="163">
        <v>0.77268000000000003</v>
      </c>
      <c r="O248" s="163">
        <v>0.62213407799999998</v>
      </c>
      <c r="P248" s="163">
        <v>2.2999999999999998</v>
      </c>
      <c r="Q248" s="164">
        <v>0.53072600000000003</v>
      </c>
    </row>
    <row r="249" spans="1:17" ht="15" x14ac:dyDescent="0.25">
      <c r="A249" s="156" t="s">
        <v>604</v>
      </c>
      <c r="B249" s="156" t="s">
        <v>842</v>
      </c>
      <c r="C249" s="156">
        <v>7172</v>
      </c>
      <c r="D249" s="156">
        <v>282</v>
      </c>
      <c r="E249" s="156">
        <v>92</v>
      </c>
      <c r="F249" s="156">
        <v>0</v>
      </c>
      <c r="G249" s="156">
        <v>98</v>
      </c>
      <c r="H249" s="156">
        <v>3.0652200000000001</v>
      </c>
      <c r="I249" s="156">
        <v>1.95</v>
      </c>
      <c r="J249" s="156">
        <v>1.0781400000000001</v>
      </c>
      <c r="K249" s="156">
        <v>11.3005</v>
      </c>
      <c r="L249" s="156">
        <v>0.10939400000000001</v>
      </c>
      <c r="M249" s="156">
        <v>0.56699999999999995</v>
      </c>
      <c r="N249" s="156">
        <v>0.77268000000000003</v>
      </c>
      <c r="O249" s="156">
        <v>0.62213407799999998</v>
      </c>
      <c r="P249" s="156">
        <v>2.2999999999999998</v>
      </c>
      <c r="Q249" s="159">
        <v>-0.45604800000000001</v>
      </c>
    </row>
    <row r="250" spans="1:17" ht="15" x14ac:dyDescent="0.25">
      <c r="A250" s="163" t="s">
        <v>604</v>
      </c>
      <c r="B250" s="163" t="s">
        <v>606</v>
      </c>
      <c r="C250" s="163">
        <v>143</v>
      </c>
      <c r="D250" s="163">
        <v>254</v>
      </c>
      <c r="E250" s="163">
        <v>91</v>
      </c>
      <c r="F250" s="163">
        <v>0</v>
      </c>
      <c r="G250" s="163">
        <v>140</v>
      </c>
      <c r="H250" s="163">
        <v>2.79121</v>
      </c>
      <c r="I250" s="163">
        <v>1.95</v>
      </c>
      <c r="J250" s="163">
        <v>1.2141</v>
      </c>
      <c r="K250" s="163">
        <v>27.888400000000001</v>
      </c>
      <c r="L250" s="163">
        <v>0.23457700000000001</v>
      </c>
      <c r="M250" s="163">
        <v>0.56699999999999995</v>
      </c>
      <c r="N250" s="163">
        <v>0.77268000000000003</v>
      </c>
      <c r="O250" s="163">
        <v>0.62213407799999998</v>
      </c>
      <c r="P250" s="163">
        <v>2.2999999999999998</v>
      </c>
      <c r="Q250" s="164">
        <v>-0.16576099999999999</v>
      </c>
    </row>
    <row r="251" spans="1:17" ht="15" x14ac:dyDescent="0.25">
      <c r="A251" s="156" t="s">
        <v>604</v>
      </c>
      <c r="B251" s="156" t="s">
        <v>679</v>
      </c>
      <c r="C251" s="156">
        <v>8285</v>
      </c>
      <c r="D251" s="156">
        <v>2267</v>
      </c>
      <c r="E251" s="156">
        <v>890</v>
      </c>
      <c r="F251" s="156">
        <v>0</v>
      </c>
      <c r="G251" s="156">
        <v>1109</v>
      </c>
      <c r="H251" s="156">
        <v>2.5471900000000001</v>
      </c>
      <c r="I251" s="156">
        <v>1.95</v>
      </c>
      <c r="J251" s="156">
        <v>1.0415300000000001</v>
      </c>
      <c r="K251" s="156">
        <v>48.276499999999999</v>
      </c>
      <c r="L251" s="156">
        <v>5.1452299999999999E-2</v>
      </c>
      <c r="M251" s="156">
        <v>0.56699999999999995</v>
      </c>
      <c r="N251" s="156">
        <v>0.77268000000000003</v>
      </c>
      <c r="O251" s="156">
        <v>0.62213407799999998</v>
      </c>
      <c r="P251" s="156">
        <v>2.2999999999999998</v>
      </c>
      <c r="Q251" s="159">
        <v>-0.65917300000000001</v>
      </c>
    </row>
    <row r="252" spans="1:17" ht="15" x14ac:dyDescent="0.25">
      <c r="A252" s="163" t="s">
        <v>604</v>
      </c>
      <c r="B252" s="163" t="s">
        <v>843</v>
      </c>
      <c r="C252" s="163">
        <v>6023</v>
      </c>
      <c r="D252" s="163">
        <v>247</v>
      </c>
      <c r="E252" s="163">
        <v>103</v>
      </c>
      <c r="F252" s="163">
        <v>0</v>
      </c>
      <c r="G252" s="163">
        <v>109</v>
      </c>
      <c r="H252" s="163">
        <v>2.3980600000000001</v>
      </c>
      <c r="I252" s="163">
        <v>1.95</v>
      </c>
      <c r="J252" s="163">
        <v>1.0656000000000001</v>
      </c>
      <c r="K252" s="163">
        <v>8.3095800000000004</v>
      </c>
      <c r="L252" s="163">
        <v>7.4652899999999994E-2</v>
      </c>
      <c r="M252" s="163">
        <v>0.56699999999999995</v>
      </c>
      <c r="N252" s="163">
        <v>0.77268000000000003</v>
      </c>
      <c r="O252" s="163">
        <v>0.62213407799999998</v>
      </c>
      <c r="P252" s="163">
        <v>2.2999999999999998</v>
      </c>
      <c r="Q252" s="164">
        <v>-0.82774000000000003</v>
      </c>
    </row>
    <row r="253" spans="1:17" ht="15" x14ac:dyDescent="0.25">
      <c r="A253" s="156" t="s">
        <v>604</v>
      </c>
      <c r="B253" s="156" t="s">
        <v>844</v>
      </c>
      <c r="C253" s="156">
        <v>7703</v>
      </c>
      <c r="D253" s="156">
        <v>191</v>
      </c>
      <c r="E253" s="156">
        <v>97</v>
      </c>
      <c r="F253" s="156">
        <v>0</v>
      </c>
      <c r="G253" s="156">
        <v>139</v>
      </c>
      <c r="H253" s="156">
        <v>1.9690700000000001</v>
      </c>
      <c r="I253" s="156">
        <v>1.95</v>
      </c>
      <c r="J253" s="156">
        <v>1.1802699999999999</v>
      </c>
      <c r="K253" s="156">
        <v>17.656700000000001</v>
      </c>
      <c r="L253" s="156">
        <v>0.153997</v>
      </c>
      <c r="M253" s="156">
        <v>0.56699999999999995</v>
      </c>
      <c r="N253" s="156">
        <v>0.77268000000000003</v>
      </c>
      <c r="O253" s="156">
        <v>0.62213407799999998</v>
      </c>
      <c r="P253" s="156">
        <v>2.2999999999999998</v>
      </c>
      <c r="Q253" s="159">
        <v>-0.58923999999999999</v>
      </c>
    </row>
    <row r="254" spans="1:17" ht="15" x14ac:dyDescent="0.25">
      <c r="A254" s="163" t="s">
        <v>604</v>
      </c>
      <c r="B254" s="163" t="s">
        <v>627</v>
      </c>
      <c r="C254" s="163">
        <v>3415</v>
      </c>
      <c r="D254" s="163">
        <v>1173</v>
      </c>
      <c r="E254" s="163">
        <v>581</v>
      </c>
      <c r="F254" s="163">
        <v>0</v>
      </c>
      <c r="G254" s="163">
        <v>660</v>
      </c>
      <c r="H254" s="163">
        <v>2.0189300000000001</v>
      </c>
      <c r="I254" s="163">
        <v>1.95</v>
      </c>
      <c r="J254" s="163">
        <v>1.05332</v>
      </c>
      <c r="K254" s="163">
        <v>32.0749</v>
      </c>
      <c r="L254" s="163">
        <v>5.2318099999999999E-2</v>
      </c>
      <c r="M254" s="163">
        <v>0.56699999999999995</v>
      </c>
      <c r="N254" s="163">
        <v>0.77268000000000003</v>
      </c>
      <c r="O254" s="163">
        <v>0.62213407799999998</v>
      </c>
      <c r="P254" s="163">
        <v>2.2999999999999998</v>
      </c>
      <c r="Q254" s="164">
        <v>-0.50847500000000001</v>
      </c>
    </row>
    <row r="255" spans="1:17" ht="15" x14ac:dyDescent="0.25">
      <c r="A255" s="156" t="s">
        <v>604</v>
      </c>
      <c r="B255" s="156" t="s">
        <v>629</v>
      </c>
      <c r="C255" s="156">
        <v>4005</v>
      </c>
      <c r="D255" s="156">
        <v>3469</v>
      </c>
      <c r="E255" s="156">
        <v>1415</v>
      </c>
      <c r="F255" s="156">
        <v>90</v>
      </c>
      <c r="G255" s="156">
        <v>1670</v>
      </c>
      <c r="H255" s="156">
        <v>2.4515899999999999</v>
      </c>
      <c r="I255" s="156">
        <v>1.95</v>
      </c>
      <c r="J255" s="156">
        <v>1.17164</v>
      </c>
      <c r="K255" s="156">
        <v>305.34500000000003</v>
      </c>
      <c r="L255" s="156">
        <v>0.17749100000000001</v>
      </c>
      <c r="M255" s="156">
        <v>0.56699999999999995</v>
      </c>
      <c r="N255" s="156">
        <v>0.77268000000000003</v>
      </c>
      <c r="O255" s="156">
        <v>0.62213407799999998</v>
      </c>
      <c r="P255" s="156">
        <v>2.2999999999999998</v>
      </c>
      <c r="Q255" s="159">
        <v>-0.44894400000000001</v>
      </c>
    </row>
    <row r="256" spans="1:17" ht="15" x14ac:dyDescent="0.25">
      <c r="A256" s="163" t="s">
        <v>604</v>
      </c>
      <c r="B256" s="163" t="s">
        <v>845</v>
      </c>
      <c r="C256" s="163">
        <v>20598</v>
      </c>
      <c r="D256" s="163">
        <v>614</v>
      </c>
      <c r="E256" s="163">
        <v>303</v>
      </c>
      <c r="F256" s="163">
        <v>0</v>
      </c>
      <c r="G256" s="163">
        <v>349</v>
      </c>
      <c r="H256" s="163">
        <v>2.0264000000000002</v>
      </c>
      <c r="I256" s="163">
        <v>1.95</v>
      </c>
      <c r="J256" s="163">
        <v>1.0644400000000001</v>
      </c>
      <c r="K256" s="163">
        <v>20.290199999999999</v>
      </c>
      <c r="L256" s="163">
        <v>6.2761399999999995E-2</v>
      </c>
      <c r="M256" s="163">
        <v>0.56699999999999995</v>
      </c>
      <c r="N256" s="163">
        <v>0.77268000000000003</v>
      </c>
      <c r="O256" s="163">
        <v>0.62213407799999998</v>
      </c>
      <c r="P256" s="163">
        <v>2.2999999999999998</v>
      </c>
      <c r="Q256" s="164">
        <v>-0.72536800000000001</v>
      </c>
    </row>
    <row r="257" spans="1:17" ht="15" x14ac:dyDescent="0.25">
      <c r="A257" s="156" t="s">
        <v>604</v>
      </c>
      <c r="B257" s="156" t="s">
        <v>846</v>
      </c>
      <c r="C257" s="156">
        <v>9128</v>
      </c>
      <c r="D257" s="156">
        <v>1222</v>
      </c>
      <c r="E257" s="156">
        <v>436</v>
      </c>
      <c r="F257" s="156">
        <v>0</v>
      </c>
      <c r="G257" s="156">
        <v>521</v>
      </c>
      <c r="H257" s="156">
        <v>2.8027500000000001</v>
      </c>
      <c r="I257" s="156">
        <v>1.95</v>
      </c>
      <c r="J257" s="156">
        <v>1.04996</v>
      </c>
      <c r="K257" s="156">
        <v>31.3111</v>
      </c>
      <c r="L257" s="156">
        <v>6.7002699999999998E-2</v>
      </c>
      <c r="M257" s="156">
        <v>0.56699999999999995</v>
      </c>
      <c r="N257" s="156">
        <v>0.77268000000000003</v>
      </c>
      <c r="O257" s="156">
        <v>0.62213407799999998</v>
      </c>
      <c r="P257" s="156">
        <v>2.2999999999999998</v>
      </c>
      <c r="Q257" s="159">
        <v>-6.2351499999999997E-2</v>
      </c>
    </row>
    <row r="258" spans="1:17" ht="15" x14ac:dyDescent="0.25">
      <c r="A258" s="163" t="s">
        <v>604</v>
      </c>
      <c r="B258" s="163" t="s">
        <v>689</v>
      </c>
      <c r="C258" s="163">
        <v>8753</v>
      </c>
      <c r="D258" s="163">
        <v>802</v>
      </c>
      <c r="E258" s="163">
        <v>453</v>
      </c>
      <c r="F258" s="163">
        <v>0</v>
      </c>
      <c r="G258" s="163">
        <v>545</v>
      </c>
      <c r="H258" s="163">
        <v>1.7704200000000001</v>
      </c>
      <c r="I258" s="163">
        <v>1.95</v>
      </c>
      <c r="J258" s="163">
        <v>1.0980300000000001</v>
      </c>
      <c r="K258" s="163">
        <v>40.318199999999997</v>
      </c>
      <c r="L258" s="163">
        <v>8.1728499999999996E-2</v>
      </c>
      <c r="M258" s="163">
        <v>0.56699999999999995</v>
      </c>
      <c r="N258" s="163">
        <v>0.77268000000000003</v>
      </c>
      <c r="O258" s="163">
        <v>0.62213407799999998</v>
      </c>
      <c r="P258" s="163">
        <v>2.2999999999999998</v>
      </c>
      <c r="Q258" s="164">
        <v>0.10958900000000001</v>
      </c>
    </row>
    <row r="259" spans="1:17" ht="15" x14ac:dyDescent="0.25">
      <c r="A259" s="156" t="s">
        <v>604</v>
      </c>
      <c r="B259" s="156" t="s">
        <v>654</v>
      </c>
      <c r="C259" s="156">
        <v>6505</v>
      </c>
      <c r="D259" s="156">
        <v>53253</v>
      </c>
      <c r="E259" s="156">
        <v>19247</v>
      </c>
      <c r="F259" s="156">
        <v>70</v>
      </c>
      <c r="G259" s="156">
        <v>20659</v>
      </c>
      <c r="H259" s="156">
        <v>2.7668200000000001</v>
      </c>
      <c r="I259" s="156">
        <v>1.95</v>
      </c>
      <c r="J259" s="156">
        <v>1.0528200000000001</v>
      </c>
      <c r="K259" s="156">
        <v>1442.37</v>
      </c>
      <c r="L259" s="156">
        <v>6.9715299999999994E-2</v>
      </c>
      <c r="M259" s="156">
        <v>0.56699999999999995</v>
      </c>
      <c r="N259" s="156">
        <v>0.77268000000000003</v>
      </c>
      <c r="O259" s="156">
        <v>0.62213407799999998</v>
      </c>
      <c r="P259" s="156">
        <v>2.2999999999999998</v>
      </c>
      <c r="Q259" s="159">
        <v>-0.767459</v>
      </c>
    </row>
    <row r="260" spans="1:17" ht="15" x14ac:dyDescent="0.25">
      <c r="A260" s="163" t="s">
        <v>604</v>
      </c>
      <c r="B260" s="163" t="s">
        <v>654</v>
      </c>
      <c r="C260" s="163">
        <v>6506</v>
      </c>
      <c r="D260" s="163">
        <v>58365</v>
      </c>
      <c r="E260" s="163">
        <v>20957</v>
      </c>
      <c r="F260" s="163">
        <v>63</v>
      </c>
      <c r="G260" s="163">
        <v>22170</v>
      </c>
      <c r="H260" s="163">
        <v>2.7849900000000001</v>
      </c>
      <c r="I260" s="163">
        <v>1.95</v>
      </c>
      <c r="J260" s="163">
        <v>1.0382</v>
      </c>
      <c r="K260" s="163">
        <v>1143.25</v>
      </c>
      <c r="L260" s="163">
        <v>5.17303E-2</v>
      </c>
      <c r="M260" s="163">
        <v>0.56699999999999995</v>
      </c>
      <c r="N260" s="163">
        <v>0.77268000000000003</v>
      </c>
      <c r="O260" s="163">
        <v>0.62213407799999998</v>
      </c>
      <c r="P260" s="163">
        <v>2.2999999999999998</v>
      </c>
      <c r="Q260" s="164">
        <v>-0.79937800000000003</v>
      </c>
    </row>
    <row r="261" spans="1:17" ht="15" x14ac:dyDescent="0.25">
      <c r="A261" s="156" t="s">
        <v>604</v>
      </c>
      <c r="B261" s="156" t="s">
        <v>654</v>
      </c>
      <c r="C261" s="156">
        <v>6507</v>
      </c>
      <c r="D261" s="156">
        <v>19054</v>
      </c>
      <c r="E261" s="156">
        <v>7050</v>
      </c>
      <c r="F261" s="156">
        <v>32</v>
      </c>
      <c r="G261" s="156">
        <v>7612</v>
      </c>
      <c r="H261" s="156">
        <v>2.7027000000000001</v>
      </c>
      <c r="I261" s="156">
        <v>1.95</v>
      </c>
      <c r="J261" s="156">
        <v>1.0206500000000001</v>
      </c>
      <c r="K261" s="156">
        <v>201.739</v>
      </c>
      <c r="L261" s="156">
        <v>2.7819400000000001E-2</v>
      </c>
      <c r="M261" s="156">
        <v>0.56699999999999995</v>
      </c>
      <c r="N261" s="156">
        <v>0.77268000000000003</v>
      </c>
      <c r="O261" s="156">
        <v>0.62213407799999998</v>
      </c>
      <c r="P261" s="156">
        <v>2.2999999999999998</v>
      </c>
      <c r="Q261" s="159">
        <v>-0.60723199999999999</v>
      </c>
    </row>
    <row r="262" spans="1:17" ht="15" x14ac:dyDescent="0.25">
      <c r="A262" s="163" t="s">
        <v>604</v>
      </c>
      <c r="B262" s="163" t="s">
        <v>654</v>
      </c>
      <c r="C262" s="163">
        <v>6508</v>
      </c>
      <c r="D262" s="163">
        <v>5948</v>
      </c>
      <c r="E262" s="163">
        <v>2411</v>
      </c>
      <c r="F262" s="163">
        <v>2120</v>
      </c>
      <c r="G262" s="163">
        <v>3159</v>
      </c>
      <c r="H262" s="163">
        <v>2.4670299999999998</v>
      </c>
      <c r="I262" s="163">
        <v>1.95</v>
      </c>
      <c r="J262" s="163">
        <v>1.16195</v>
      </c>
      <c r="K262" s="163">
        <v>493.98899999999998</v>
      </c>
      <c r="L262" s="163">
        <v>0.170048</v>
      </c>
      <c r="M262" s="163">
        <v>0.56699999999999995</v>
      </c>
      <c r="N262" s="163">
        <v>0.77268000000000003</v>
      </c>
      <c r="O262" s="163">
        <v>0.62213407799999998</v>
      </c>
      <c r="P262" s="163">
        <v>2.2999999999999998</v>
      </c>
      <c r="Q262" s="164">
        <v>-0.441909</v>
      </c>
    </row>
    <row r="263" spans="1:17" ht="15" x14ac:dyDescent="0.25">
      <c r="A263" s="156" t="s">
        <v>604</v>
      </c>
      <c r="B263" s="156" t="s">
        <v>654</v>
      </c>
      <c r="C263" s="156">
        <v>6509</v>
      </c>
      <c r="D263" s="156">
        <v>62134</v>
      </c>
      <c r="E263" s="156">
        <v>22668</v>
      </c>
      <c r="F263" s="156">
        <v>214</v>
      </c>
      <c r="G263" s="156">
        <v>30948</v>
      </c>
      <c r="H263" s="156">
        <v>2.7410399999999999</v>
      </c>
      <c r="I263" s="156">
        <v>1.95</v>
      </c>
      <c r="J263" s="156">
        <v>1.08674</v>
      </c>
      <c r="K263" s="156">
        <v>2763.8</v>
      </c>
      <c r="L263" s="156">
        <v>0.10867499999999999</v>
      </c>
      <c r="M263" s="156">
        <v>0.56699999999999995</v>
      </c>
      <c r="N263" s="156">
        <v>0.77268000000000003</v>
      </c>
      <c r="O263" s="156">
        <v>0.62213407799999998</v>
      </c>
      <c r="P263" s="156">
        <v>2.2999999999999998</v>
      </c>
      <c r="Q263" s="159">
        <v>-0.52971999999999997</v>
      </c>
    </row>
    <row r="264" spans="1:17" ht="15" x14ac:dyDescent="0.25">
      <c r="A264" s="163" t="s">
        <v>604</v>
      </c>
      <c r="B264" s="163" t="s">
        <v>654</v>
      </c>
      <c r="C264" s="163">
        <v>8054</v>
      </c>
      <c r="D264" s="163">
        <v>11915</v>
      </c>
      <c r="E264" s="163">
        <v>4912</v>
      </c>
      <c r="F264" s="163">
        <v>0</v>
      </c>
      <c r="G264" s="163">
        <v>6140</v>
      </c>
      <c r="H264" s="163">
        <v>2.4256899999999999</v>
      </c>
      <c r="I264" s="163">
        <v>1.95</v>
      </c>
      <c r="J264" s="163">
        <v>1</v>
      </c>
      <c r="K264" s="163">
        <v>0</v>
      </c>
      <c r="L264" s="163">
        <v>0</v>
      </c>
      <c r="M264" s="163">
        <v>0.56699999999999995</v>
      </c>
      <c r="N264" s="163">
        <v>0.77268000000000003</v>
      </c>
      <c r="O264" s="163">
        <v>0.62213407799999998</v>
      </c>
      <c r="P264" s="163">
        <v>2.2999999999999998</v>
      </c>
      <c r="Q264" s="164">
        <v>-0.38777800000000001</v>
      </c>
    </row>
    <row r="265" spans="1:17" ht="15" x14ac:dyDescent="0.25">
      <c r="A265" s="156" t="s">
        <v>604</v>
      </c>
      <c r="B265" s="156" t="s">
        <v>654</v>
      </c>
      <c r="C265" s="156">
        <v>10141</v>
      </c>
      <c r="D265" s="156">
        <v>857</v>
      </c>
      <c r="E265" s="156">
        <v>377</v>
      </c>
      <c r="F265" s="156">
        <v>0</v>
      </c>
      <c r="G265" s="156">
        <v>485</v>
      </c>
      <c r="H265" s="156">
        <v>2.2732100000000002</v>
      </c>
      <c r="I265" s="156">
        <v>1.95</v>
      </c>
      <c r="J265" s="156">
        <v>1.0415300000000001</v>
      </c>
      <c r="K265" s="156">
        <v>18.2501</v>
      </c>
      <c r="L265" s="156">
        <v>4.6173499999999999E-2</v>
      </c>
      <c r="M265" s="156">
        <v>0.56699999999999995</v>
      </c>
      <c r="N265" s="156">
        <v>0.77268000000000003</v>
      </c>
      <c r="O265" s="156">
        <v>0.62213407799999998</v>
      </c>
      <c r="P265" s="156">
        <v>2.2999999999999998</v>
      </c>
      <c r="Q265" s="159">
        <v>-0.65917300000000001</v>
      </c>
    </row>
    <row r="266" spans="1:17" ht="15" x14ac:dyDescent="0.25">
      <c r="A266" s="163" t="s">
        <v>604</v>
      </c>
      <c r="B266" s="163" t="s">
        <v>847</v>
      </c>
      <c r="C266" s="163">
        <v>4175</v>
      </c>
      <c r="D266" s="163">
        <v>143</v>
      </c>
      <c r="E266" s="163">
        <v>73</v>
      </c>
      <c r="F266" s="163">
        <v>0</v>
      </c>
      <c r="G266" s="163">
        <v>89</v>
      </c>
      <c r="H266" s="163">
        <v>1.9589000000000001</v>
      </c>
      <c r="I266" s="163">
        <v>1.95</v>
      </c>
      <c r="J266" s="163">
        <v>1.0415300000000001</v>
      </c>
      <c r="K266" s="163">
        <v>3.0452300000000001</v>
      </c>
      <c r="L266" s="163">
        <v>4.0044999999999997E-2</v>
      </c>
      <c r="M266" s="163">
        <v>0.56699999999999995</v>
      </c>
      <c r="N266" s="163">
        <v>0.77268000000000003</v>
      </c>
      <c r="O266" s="163">
        <v>0.62213407799999998</v>
      </c>
      <c r="P266" s="163">
        <v>2.2999999999999998</v>
      </c>
      <c r="Q266" s="164">
        <v>-0.65917300000000001</v>
      </c>
    </row>
    <row r="267" spans="1:17" ht="15" x14ac:dyDescent="0.25">
      <c r="A267" s="156" t="s">
        <v>604</v>
      </c>
      <c r="B267" s="156" t="s">
        <v>642</v>
      </c>
      <c r="C267" s="156">
        <v>5868</v>
      </c>
      <c r="D267" s="156">
        <v>277</v>
      </c>
      <c r="E267" s="156">
        <v>159</v>
      </c>
      <c r="F267" s="156">
        <v>0</v>
      </c>
      <c r="G267" s="156">
        <v>301</v>
      </c>
      <c r="H267" s="156">
        <v>1.74214</v>
      </c>
      <c r="I267" s="156">
        <v>1.95</v>
      </c>
      <c r="J267" s="156">
        <v>1.19787</v>
      </c>
      <c r="K267" s="156">
        <v>28.107600000000001</v>
      </c>
      <c r="L267" s="156">
        <v>0.15022199999999999</v>
      </c>
      <c r="M267" s="156">
        <v>0.56699999999999995</v>
      </c>
      <c r="N267" s="156">
        <v>0.77268000000000003</v>
      </c>
      <c r="O267" s="156">
        <v>0.62213407799999998</v>
      </c>
      <c r="P267" s="156">
        <v>2.2999999999999998</v>
      </c>
      <c r="Q267" s="159">
        <v>-0.25873200000000002</v>
      </c>
    </row>
    <row r="268" spans="1:17" ht="15" x14ac:dyDescent="0.25">
      <c r="A268" s="163" t="s">
        <v>604</v>
      </c>
      <c r="B268" s="163" t="s">
        <v>848</v>
      </c>
      <c r="C268" s="163">
        <v>6156</v>
      </c>
      <c r="D268" s="163">
        <v>315</v>
      </c>
      <c r="E268" s="163">
        <v>190</v>
      </c>
      <c r="F268" s="163">
        <v>0</v>
      </c>
      <c r="G268" s="163">
        <v>215</v>
      </c>
      <c r="H268" s="163">
        <v>1.6578900000000001</v>
      </c>
      <c r="I268" s="163">
        <v>1.95</v>
      </c>
      <c r="J268" s="163">
        <v>1.0459700000000001</v>
      </c>
      <c r="K268" s="163">
        <v>7.4266699999999997</v>
      </c>
      <c r="L268" s="163">
        <v>3.7617400000000002E-2</v>
      </c>
      <c r="M268" s="163">
        <v>0.56699999999999995</v>
      </c>
      <c r="N268" s="163">
        <v>0.77268000000000003</v>
      </c>
      <c r="O268" s="163">
        <v>0.62213407799999998</v>
      </c>
      <c r="P268" s="163">
        <v>2.2999999999999998</v>
      </c>
      <c r="Q268" s="164">
        <v>1.5885800000000001</v>
      </c>
    </row>
    <row r="269" spans="1:17" ht="15" x14ac:dyDescent="0.25">
      <c r="A269" s="156" t="s">
        <v>604</v>
      </c>
      <c r="B269" s="156" t="s">
        <v>681</v>
      </c>
      <c r="C269" s="156">
        <v>8344</v>
      </c>
      <c r="D269" s="156">
        <v>1795</v>
      </c>
      <c r="E269" s="156">
        <v>749</v>
      </c>
      <c r="F269" s="156">
        <v>0</v>
      </c>
      <c r="G269" s="156">
        <v>995</v>
      </c>
      <c r="H269" s="156">
        <v>2.3965299999999998</v>
      </c>
      <c r="I269" s="156">
        <v>1.95</v>
      </c>
      <c r="J269" s="156">
        <v>1.1122300000000001</v>
      </c>
      <c r="K269" s="156">
        <v>103.312</v>
      </c>
      <c r="L269" s="156">
        <v>0.121214</v>
      </c>
      <c r="M269" s="156">
        <v>0.56699999999999995</v>
      </c>
      <c r="N269" s="156">
        <v>0.77268000000000003</v>
      </c>
      <c r="O269" s="156">
        <v>0.62213407799999998</v>
      </c>
      <c r="P269" s="156">
        <v>2.2999999999999998</v>
      </c>
      <c r="Q269" s="159">
        <v>0.10958900000000001</v>
      </c>
    </row>
    <row r="270" spans="1:17" ht="15" x14ac:dyDescent="0.25">
      <c r="A270" s="163" t="s">
        <v>604</v>
      </c>
      <c r="B270" s="163" t="s">
        <v>650</v>
      </c>
      <c r="C270" s="163">
        <v>6174</v>
      </c>
      <c r="D270" s="163">
        <v>716</v>
      </c>
      <c r="E270" s="163">
        <v>445</v>
      </c>
      <c r="F270" s="163">
        <v>0</v>
      </c>
      <c r="G270" s="163">
        <v>1113</v>
      </c>
      <c r="H270" s="163">
        <v>1.6089899999999999</v>
      </c>
      <c r="I270" s="163">
        <v>1.95</v>
      </c>
      <c r="J270" s="163">
        <v>1.21966</v>
      </c>
      <c r="K270" s="163">
        <v>80.653000000000006</v>
      </c>
      <c r="L270" s="163">
        <v>0.15343399999999999</v>
      </c>
      <c r="M270" s="163">
        <v>0.56699999999999995</v>
      </c>
      <c r="N270" s="163">
        <v>0.77268000000000003</v>
      </c>
      <c r="O270" s="163">
        <v>0.62213407799999998</v>
      </c>
      <c r="P270" s="163">
        <v>2.2999999999999998</v>
      </c>
      <c r="Q270" s="164">
        <v>-8.7440400000000001E-2</v>
      </c>
    </row>
    <row r="271" spans="1:17" ht="15" x14ac:dyDescent="0.25">
      <c r="A271" s="156" t="s">
        <v>604</v>
      </c>
      <c r="B271" s="156" t="s">
        <v>622</v>
      </c>
      <c r="C271" s="156">
        <v>2410</v>
      </c>
      <c r="D271" s="156">
        <v>812</v>
      </c>
      <c r="E271" s="156">
        <v>334</v>
      </c>
      <c r="F271" s="156">
        <v>0</v>
      </c>
      <c r="G271" s="156">
        <v>384</v>
      </c>
      <c r="H271" s="156">
        <v>2.4311400000000001</v>
      </c>
      <c r="I271" s="156">
        <v>1.95</v>
      </c>
      <c r="J271" s="156">
        <v>1.0459700000000001</v>
      </c>
      <c r="K271" s="156">
        <v>19.144300000000001</v>
      </c>
      <c r="L271" s="156">
        <v>5.4211000000000002E-2</v>
      </c>
      <c r="M271" s="156">
        <v>0.56699999999999995</v>
      </c>
      <c r="N271" s="156">
        <v>0.77268000000000003</v>
      </c>
      <c r="O271" s="156">
        <v>0.62213407799999998</v>
      </c>
      <c r="P271" s="156">
        <v>2.2999999999999998</v>
      </c>
      <c r="Q271" s="159">
        <v>-0.39089800000000002</v>
      </c>
    </row>
    <row r="272" spans="1:17" ht="15" x14ac:dyDescent="0.25">
      <c r="A272" s="163" t="s">
        <v>604</v>
      </c>
      <c r="B272" s="163" t="s">
        <v>709</v>
      </c>
      <c r="C272" s="163">
        <v>99905</v>
      </c>
      <c r="D272" s="163">
        <v>4719</v>
      </c>
      <c r="E272" s="163">
        <v>1966</v>
      </c>
      <c r="F272" s="163">
        <v>0</v>
      </c>
      <c r="G272" s="163">
        <v>2249</v>
      </c>
      <c r="H272" s="163">
        <v>2.4003100000000002</v>
      </c>
      <c r="I272" s="163">
        <v>1.95</v>
      </c>
      <c r="J272" s="163">
        <v>1.0556700000000001</v>
      </c>
      <c r="K272" s="163">
        <v>134.71700000000001</v>
      </c>
      <c r="L272" s="163">
        <v>6.4129000000000005E-2</v>
      </c>
      <c r="M272" s="163">
        <v>0.56699999999999995</v>
      </c>
      <c r="N272" s="163">
        <v>0.77268000000000003</v>
      </c>
      <c r="O272" s="163">
        <v>0.62213407799999998</v>
      </c>
      <c r="P272" s="163">
        <v>2.2999999999999998</v>
      </c>
      <c r="Q272" s="164">
        <v>0.61194400000000004</v>
      </c>
    </row>
    <row r="273" spans="1:17" ht="15" x14ac:dyDescent="0.25">
      <c r="A273" s="156" t="s">
        <v>604</v>
      </c>
      <c r="B273" s="156" t="s">
        <v>696</v>
      </c>
      <c r="C273" s="156">
        <v>9557</v>
      </c>
      <c r="D273" s="156">
        <v>351</v>
      </c>
      <c r="E273" s="156">
        <v>215</v>
      </c>
      <c r="F273" s="156">
        <v>0</v>
      </c>
      <c r="G273" s="156">
        <v>286</v>
      </c>
      <c r="H273" s="156">
        <v>1.63256</v>
      </c>
      <c r="I273" s="156">
        <v>1.95</v>
      </c>
      <c r="J273" s="156">
        <v>1.19787</v>
      </c>
      <c r="K273" s="156">
        <v>35.616500000000002</v>
      </c>
      <c r="L273" s="156">
        <v>0.14211599999999999</v>
      </c>
      <c r="M273" s="156">
        <v>0.56699999999999995</v>
      </c>
      <c r="N273" s="156">
        <v>0.77268000000000003</v>
      </c>
      <c r="O273" s="156">
        <v>0.62213407799999998</v>
      </c>
      <c r="P273" s="156">
        <v>2.2999999999999998</v>
      </c>
      <c r="Q273" s="159">
        <v>-0.12878300000000001</v>
      </c>
    </row>
    <row r="274" spans="1:17" s="88" customFormat="1" ht="15" x14ac:dyDescent="0.25">
      <c r="A274" s="163" t="s">
        <v>604</v>
      </c>
      <c r="B274" s="163" t="s">
        <v>849</v>
      </c>
      <c r="C274" s="163">
        <v>9341</v>
      </c>
      <c r="D274" s="163">
        <v>1242</v>
      </c>
      <c r="E274" s="163">
        <v>387</v>
      </c>
      <c r="F274" s="163">
        <v>0</v>
      </c>
      <c r="G274" s="163">
        <v>535</v>
      </c>
      <c r="H274" s="163">
        <v>3.2092999999999998</v>
      </c>
      <c r="I274" s="163">
        <v>1.95</v>
      </c>
      <c r="J274" s="163">
        <v>1.1231500000000001</v>
      </c>
      <c r="K274" s="163">
        <v>78.44</v>
      </c>
      <c r="L274" s="163">
        <v>0.16852900000000001</v>
      </c>
      <c r="M274" s="163">
        <v>0.56699999999999995</v>
      </c>
      <c r="N274" s="163">
        <v>0.77268000000000003</v>
      </c>
      <c r="O274" s="163">
        <v>0.62213407799999998</v>
      </c>
      <c r="P274" s="163">
        <v>2.2999999999999998</v>
      </c>
      <c r="Q274" s="164">
        <v>0.43300899999999998</v>
      </c>
    </row>
    <row r="275" spans="1:17" ht="15" x14ac:dyDescent="0.25">
      <c r="A275" s="156" t="s">
        <v>604</v>
      </c>
      <c r="B275" s="156" t="s">
        <v>691</v>
      </c>
      <c r="C275" s="156">
        <v>8967</v>
      </c>
      <c r="D275" s="156">
        <v>558</v>
      </c>
      <c r="E275" s="156">
        <v>330</v>
      </c>
      <c r="F275" s="156">
        <v>0</v>
      </c>
      <c r="G275" s="156">
        <v>401</v>
      </c>
      <c r="H275" s="156">
        <v>1.6909099999999999</v>
      </c>
      <c r="I275" s="156">
        <v>1.95</v>
      </c>
      <c r="J275" s="156">
        <v>1.0980099999999999</v>
      </c>
      <c r="K275" s="156">
        <v>28.044599999999999</v>
      </c>
      <c r="L275" s="156">
        <v>7.83272E-2</v>
      </c>
      <c r="M275" s="156">
        <v>0.56699999999999995</v>
      </c>
      <c r="N275" s="156">
        <v>0.77268000000000003</v>
      </c>
      <c r="O275" s="156">
        <v>0.62213407799999998</v>
      </c>
      <c r="P275" s="156">
        <v>2.2999999999999998</v>
      </c>
      <c r="Q275" s="159">
        <v>-0.13492999999999999</v>
      </c>
    </row>
    <row r="276" spans="1:17" ht="15" x14ac:dyDescent="0.25">
      <c r="A276" s="163" t="s">
        <v>604</v>
      </c>
      <c r="B276" s="163" t="s">
        <v>624</v>
      </c>
      <c r="C276" s="163">
        <v>2449</v>
      </c>
      <c r="D276" s="163">
        <v>686</v>
      </c>
      <c r="E276" s="163">
        <v>383</v>
      </c>
      <c r="F276" s="163">
        <v>0</v>
      </c>
      <c r="G276" s="163">
        <v>442</v>
      </c>
      <c r="H276" s="163">
        <v>1.79112</v>
      </c>
      <c r="I276" s="163">
        <v>1.95</v>
      </c>
      <c r="J276" s="163">
        <v>1.0980399999999999</v>
      </c>
      <c r="K276" s="163">
        <v>34.488700000000001</v>
      </c>
      <c r="L276" s="163">
        <v>8.2609799999999997E-2</v>
      </c>
      <c r="M276" s="163">
        <v>0.56699999999999995</v>
      </c>
      <c r="N276" s="163">
        <v>0.77268000000000003</v>
      </c>
      <c r="O276" s="163">
        <v>0.62213407799999998</v>
      </c>
      <c r="P276" s="163">
        <v>2.2999999999999998</v>
      </c>
      <c r="Q276" s="164">
        <v>0.10958900000000001</v>
      </c>
    </row>
    <row r="277" spans="1:17" ht="15" x14ac:dyDescent="0.25">
      <c r="A277" s="156" t="s">
        <v>604</v>
      </c>
      <c r="B277" s="156" t="s">
        <v>683</v>
      </c>
      <c r="C277" s="156">
        <v>8399</v>
      </c>
      <c r="D277" s="156">
        <v>1739</v>
      </c>
      <c r="E277" s="156">
        <v>648</v>
      </c>
      <c r="F277" s="156">
        <v>0</v>
      </c>
      <c r="G277" s="156">
        <v>937</v>
      </c>
      <c r="H277" s="156">
        <v>2.68364</v>
      </c>
      <c r="I277" s="156">
        <v>1.95</v>
      </c>
      <c r="J277" s="156">
        <v>1.1231500000000001</v>
      </c>
      <c r="K277" s="156">
        <v>109.82899999999999</v>
      </c>
      <c r="L277" s="156">
        <v>0.144925</v>
      </c>
      <c r="M277" s="156">
        <v>0.56699999999999995</v>
      </c>
      <c r="N277" s="156">
        <v>0.77268000000000003</v>
      </c>
      <c r="O277" s="156">
        <v>0.62213407799999998</v>
      </c>
      <c r="P277" s="156">
        <v>2.2999999999999998</v>
      </c>
      <c r="Q277" s="159">
        <v>0.43300899999999998</v>
      </c>
    </row>
    <row r="278" spans="1:17" ht="15" x14ac:dyDescent="0.25">
      <c r="A278" s="163" t="s">
        <v>604</v>
      </c>
      <c r="B278" s="163" t="s">
        <v>850</v>
      </c>
      <c r="C278" s="163">
        <v>6597</v>
      </c>
      <c r="D278" s="163">
        <v>757</v>
      </c>
      <c r="E278" s="163">
        <v>424</v>
      </c>
      <c r="F278" s="163">
        <v>0</v>
      </c>
      <c r="G278" s="163">
        <v>530</v>
      </c>
      <c r="H278" s="163">
        <v>1.78538</v>
      </c>
      <c r="I278" s="163">
        <v>1.95</v>
      </c>
      <c r="J278" s="163">
        <v>1.1802699999999999</v>
      </c>
      <c r="K278" s="163">
        <v>69.979900000000001</v>
      </c>
      <c r="L278" s="163">
        <v>0.14166500000000001</v>
      </c>
      <c r="M278" s="163">
        <v>0.56699999999999995</v>
      </c>
      <c r="N278" s="163">
        <v>0.77268000000000003</v>
      </c>
      <c r="O278" s="163">
        <v>0.62213407799999998</v>
      </c>
      <c r="P278" s="163">
        <v>2.2999999999999998</v>
      </c>
      <c r="Q278" s="164">
        <v>-0.58348999999999995</v>
      </c>
    </row>
    <row r="279" spans="1:17" ht="15" x14ac:dyDescent="0.25">
      <c r="A279" s="156" t="s">
        <v>604</v>
      </c>
      <c r="B279" s="156" t="s">
        <v>646</v>
      </c>
      <c r="C279" s="156">
        <v>5893</v>
      </c>
      <c r="D279" s="156">
        <v>7600</v>
      </c>
      <c r="E279" s="156">
        <v>2779</v>
      </c>
      <c r="F279" s="156">
        <v>0</v>
      </c>
      <c r="G279" s="156">
        <v>3336</v>
      </c>
      <c r="H279" s="156">
        <v>2.7347999999999999</v>
      </c>
      <c r="I279" s="156">
        <v>1.95</v>
      </c>
      <c r="J279" s="156">
        <v>1.0884100000000001</v>
      </c>
      <c r="K279" s="156">
        <v>344.565</v>
      </c>
      <c r="L279" s="156">
        <v>0.11031100000000001</v>
      </c>
      <c r="M279" s="156">
        <v>0.56699999999999995</v>
      </c>
      <c r="N279" s="156">
        <v>0.77268000000000003</v>
      </c>
      <c r="O279" s="156">
        <v>0.62213407799999998</v>
      </c>
      <c r="P279" s="156">
        <v>2.2999999999999998</v>
      </c>
      <c r="Q279" s="159">
        <v>-0.260216</v>
      </c>
    </row>
    <row r="280" spans="1:17" ht="15" x14ac:dyDescent="0.25">
      <c r="A280" s="163" t="s">
        <v>604</v>
      </c>
      <c r="B280" s="163" t="s">
        <v>620</v>
      </c>
      <c r="C280" s="163">
        <v>2332</v>
      </c>
      <c r="D280" s="163">
        <v>2029</v>
      </c>
      <c r="E280" s="163">
        <v>792</v>
      </c>
      <c r="F280" s="163">
        <v>0</v>
      </c>
      <c r="G280" s="163">
        <v>1060</v>
      </c>
      <c r="H280" s="163">
        <v>2.5618699999999999</v>
      </c>
      <c r="I280" s="163">
        <v>1.95</v>
      </c>
      <c r="J280" s="163">
        <v>1.1508799999999999</v>
      </c>
      <c r="K280" s="163">
        <v>156.994</v>
      </c>
      <c r="L280" s="163">
        <v>0.165432</v>
      </c>
      <c r="M280" s="163">
        <v>0.56699999999999995</v>
      </c>
      <c r="N280" s="163">
        <v>0.77268000000000003</v>
      </c>
      <c r="O280" s="163">
        <v>0.62213407799999998</v>
      </c>
      <c r="P280" s="163">
        <v>2.2999999999999998</v>
      </c>
      <c r="Q280" s="164">
        <v>-0.103645</v>
      </c>
    </row>
    <row r="281" spans="1:17" ht="15" x14ac:dyDescent="0.25">
      <c r="A281" s="156" t="s">
        <v>604</v>
      </c>
      <c r="B281" s="156" t="s">
        <v>851</v>
      </c>
      <c r="C281" s="156">
        <v>6314</v>
      </c>
      <c r="D281" s="156">
        <v>279</v>
      </c>
      <c r="E281" s="156">
        <v>159</v>
      </c>
      <c r="F281" s="156">
        <v>0</v>
      </c>
      <c r="G281" s="156">
        <v>222</v>
      </c>
      <c r="H281" s="156">
        <v>1.7547200000000001</v>
      </c>
      <c r="I281" s="156">
        <v>1.95</v>
      </c>
      <c r="J281" s="156">
        <v>1.21966</v>
      </c>
      <c r="K281" s="156">
        <v>31.427600000000002</v>
      </c>
      <c r="L281" s="156">
        <v>0.16503699999999999</v>
      </c>
      <c r="M281" s="156">
        <v>0.56699999999999995</v>
      </c>
      <c r="N281" s="156">
        <v>0.77268000000000003</v>
      </c>
      <c r="O281" s="156">
        <v>0.62213407799999998</v>
      </c>
      <c r="P281" s="156">
        <v>2.2999999999999998</v>
      </c>
      <c r="Q281" s="159">
        <v>-0.260216</v>
      </c>
    </row>
    <row r="282" spans="1:17" ht="15" x14ac:dyDescent="0.25">
      <c r="A282" s="163" t="s">
        <v>604</v>
      </c>
      <c r="B282" s="163" t="s">
        <v>452</v>
      </c>
      <c r="C282" s="163">
        <v>13043</v>
      </c>
      <c r="D282" s="163">
        <v>2644</v>
      </c>
      <c r="E282" s="163">
        <v>1429</v>
      </c>
      <c r="F282" s="163">
        <v>0</v>
      </c>
      <c r="G282" s="163">
        <v>1750</v>
      </c>
      <c r="H282" s="163">
        <v>1.8502400000000001</v>
      </c>
      <c r="I282" s="163">
        <v>1.95</v>
      </c>
      <c r="J282" s="163">
        <v>1.0459700000000001</v>
      </c>
      <c r="K282" s="163">
        <v>62.3369</v>
      </c>
      <c r="L282" s="163">
        <v>4.1799299999999998E-2</v>
      </c>
      <c r="M282" s="163">
        <v>0.56699999999999995</v>
      </c>
      <c r="N282" s="163">
        <v>0.77268000000000003</v>
      </c>
      <c r="O282" s="163">
        <v>0.62213407799999998</v>
      </c>
      <c r="P282" s="163">
        <v>2.2999999999999998</v>
      </c>
      <c r="Q282" s="164">
        <v>-0.487676</v>
      </c>
    </row>
    <row r="283" spans="1:17" ht="15" x14ac:dyDescent="0.25">
      <c r="A283" s="156" t="s">
        <v>604</v>
      </c>
      <c r="B283" s="156" t="s">
        <v>701</v>
      </c>
      <c r="C283" s="156">
        <v>9835</v>
      </c>
      <c r="D283" s="156">
        <v>489</v>
      </c>
      <c r="E283" s="156">
        <v>192</v>
      </c>
      <c r="F283" s="156">
        <v>0</v>
      </c>
      <c r="G283" s="156">
        <v>244</v>
      </c>
      <c r="H283" s="156">
        <v>2.5468799999999998</v>
      </c>
      <c r="I283" s="156">
        <v>1.95</v>
      </c>
      <c r="J283" s="156">
        <v>1.0656000000000001</v>
      </c>
      <c r="K283" s="156">
        <v>16.450900000000001</v>
      </c>
      <c r="L283" s="156">
        <v>7.8920000000000004E-2</v>
      </c>
      <c r="M283" s="156">
        <v>0.56699999999999995</v>
      </c>
      <c r="N283" s="156">
        <v>0.77268000000000003</v>
      </c>
      <c r="O283" s="156">
        <v>0.62213407799999998</v>
      </c>
      <c r="P283" s="156">
        <v>2.2999999999999998</v>
      </c>
      <c r="Q283" s="159">
        <v>-0.91044800000000004</v>
      </c>
    </row>
    <row r="284" spans="1:17" ht="15" x14ac:dyDescent="0.25">
      <c r="A284" s="163" t="s">
        <v>604</v>
      </c>
      <c r="B284" s="163" t="s">
        <v>699</v>
      </c>
      <c r="C284" s="163">
        <v>9807</v>
      </c>
      <c r="D284" s="163">
        <v>333</v>
      </c>
      <c r="E284" s="163">
        <v>153</v>
      </c>
      <c r="F284" s="163">
        <v>0</v>
      </c>
      <c r="G284" s="163">
        <v>179</v>
      </c>
      <c r="H284" s="163">
        <v>2.1764700000000001</v>
      </c>
      <c r="I284" s="163">
        <v>1.95</v>
      </c>
      <c r="J284" s="163">
        <v>1.21966</v>
      </c>
      <c r="K284" s="163">
        <v>37.510399999999997</v>
      </c>
      <c r="L284" s="163">
        <v>0.19689400000000001</v>
      </c>
      <c r="M284" s="163">
        <v>0.56699999999999995</v>
      </c>
      <c r="N284" s="163">
        <v>0.77268000000000003</v>
      </c>
      <c r="O284" s="163">
        <v>0.62213407799999998</v>
      </c>
      <c r="P284" s="163">
        <v>2.2999999999999998</v>
      </c>
      <c r="Q284" s="164">
        <v>0.16</v>
      </c>
    </row>
    <row r="285" spans="1:17" ht="15" x14ac:dyDescent="0.25">
      <c r="A285" s="156" t="s">
        <v>604</v>
      </c>
      <c r="B285" s="156" t="s">
        <v>852</v>
      </c>
      <c r="C285" s="156">
        <v>13167</v>
      </c>
      <c r="D285" s="156">
        <v>4475</v>
      </c>
      <c r="E285" s="156">
        <v>1453</v>
      </c>
      <c r="F285" s="156">
        <v>0</v>
      </c>
      <c r="G285" s="156">
        <v>2005</v>
      </c>
      <c r="H285" s="156">
        <v>3.0798299999999998</v>
      </c>
      <c r="I285" s="156">
        <v>1.95</v>
      </c>
      <c r="J285" s="156">
        <v>1.0696000000000001</v>
      </c>
      <c r="K285" s="156">
        <v>159.71199999999999</v>
      </c>
      <c r="L285" s="156">
        <v>9.9033399999999994E-2</v>
      </c>
      <c r="M285" s="156">
        <v>0.56699999999999995</v>
      </c>
      <c r="N285" s="156">
        <v>0.77268000000000003</v>
      </c>
      <c r="O285" s="156">
        <v>0.62213407799999998</v>
      </c>
      <c r="P285" s="156">
        <v>2.2999999999999998</v>
      </c>
      <c r="Q285" s="159">
        <v>-1.7962</v>
      </c>
    </row>
    <row r="286" spans="1:17" ht="15" x14ac:dyDescent="0.25">
      <c r="A286" s="163" t="s">
        <v>604</v>
      </c>
      <c r="B286" s="163" t="s">
        <v>652</v>
      </c>
      <c r="C286" s="163">
        <v>6208</v>
      </c>
      <c r="D286" s="163">
        <v>510</v>
      </c>
      <c r="E286" s="163">
        <v>298</v>
      </c>
      <c r="F286" s="163">
        <v>0</v>
      </c>
      <c r="G286" s="163">
        <v>499</v>
      </c>
      <c r="H286" s="163">
        <v>1.7114100000000001</v>
      </c>
      <c r="I286" s="163">
        <v>1.95</v>
      </c>
      <c r="J286" s="163">
        <v>1.19787</v>
      </c>
      <c r="K286" s="163">
        <v>51.750500000000002</v>
      </c>
      <c r="L286" s="163">
        <v>0.14796400000000001</v>
      </c>
      <c r="M286" s="163">
        <v>0.56699999999999995</v>
      </c>
      <c r="N286" s="163">
        <v>0.77268000000000003</v>
      </c>
      <c r="O286" s="163">
        <v>0.62213407799999998</v>
      </c>
      <c r="P286" s="163">
        <v>2.2999999999999998</v>
      </c>
      <c r="Q286" s="164">
        <v>-0.12878300000000001</v>
      </c>
    </row>
    <row r="287" spans="1:17" ht="15" x14ac:dyDescent="0.25">
      <c r="A287" s="156" t="s">
        <v>604</v>
      </c>
      <c r="B287" s="156" t="s">
        <v>853</v>
      </c>
      <c r="C287" s="156">
        <v>8536</v>
      </c>
      <c r="D287" s="156">
        <v>310</v>
      </c>
      <c r="E287" s="156">
        <v>150</v>
      </c>
      <c r="F287" s="156">
        <v>0</v>
      </c>
      <c r="G287" s="156">
        <v>228</v>
      </c>
      <c r="H287" s="156">
        <v>2.0666699999999998</v>
      </c>
      <c r="I287" s="156">
        <v>1.95</v>
      </c>
      <c r="J287" s="156">
        <v>1.08731</v>
      </c>
      <c r="K287" s="156">
        <v>13.8804</v>
      </c>
      <c r="L287" s="156">
        <v>8.4698399999999993E-2</v>
      </c>
      <c r="M287" s="156">
        <v>0.56699999999999995</v>
      </c>
      <c r="N287" s="156">
        <v>0.77268000000000003</v>
      </c>
      <c r="O287" s="156">
        <v>0.62213407799999998</v>
      </c>
      <c r="P287" s="156">
        <v>2.2999999999999998</v>
      </c>
      <c r="Q287" s="159">
        <v>-0.13492999999999999</v>
      </c>
    </row>
    <row r="288" spans="1:17" ht="15" x14ac:dyDescent="0.25">
      <c r="A288" s="163" t="s">
        <v>710</v>
      </c>
      <c r="B288" s="163" t="s">
        <v>722</v>
      </c>
      <c r="C288" s="163">
        <v>5807</v>
      </c>
      <c r="D288" s="163">
        <v>1743</v>
      </c>
      <c r="E288" s="163">
        <v>959</v>
      </c>
      <c r="F288" s="163">
        <v>0</v>
      </c>
      <c r="G288" s="163">
        <v>1270</v>
      </c>
      <c r="H288" s="163">
        <v>1.81752</v>
      </c>
      <c r="I288" s="163">
        <v>1.95</v>
      </c>
      <c r="J288" s="163">
        <v>1.0655600000000001</v>
      </c>
      <c r="K288" s="163">
        <v>58.6008</v>
      </c>
      <c r="L288" s="163">
        <v>5.7587199999999998E-2</v>
      </c>
      <c r="M288" s="163">
        <v>0.442</v>
      </c>
      <c r="N288" s="163">
        <v>0.70704999999999996</v>
      </c>
      <c r="O288" s="163">
        <v>0.68616514699999998</v>
      </c>
      <c r="P288" s="163">
        <v>2.7</v>
      </c>
      <c r="Q288" s="164">
        <v>-0.18449399999999999</v>
      </c>
    </row>
    <row r="289" spans="1:17" ht="15" x14ac:dyDescent="0.25">
      <c r="A289" s="156" t="s">
        <v>710</v>
      </c>
      <c r="B289" s="156" t="s">
        <v>712</v>
      </c>
      <c r="C289" s="156">
        <v>2923</v>
      </c>
      <c r="D289" s="156">
        <v>83419</v>
      </c>
      <c r="E289" s="156">
        <v>34703</v>
      </c>
      <c r="F289" s="156">
        <v>174</v>
      </c>
      <c r="G289" s="156">
        <v>40207</v>
      </c>
      <c r="H289" s="156">
        <v>2.4037999999999999</v>
      </c>
      <c r="I289" s="156">
        <v>1.95</v>
      </c>
      <c r="J289" s="156">
        <v>1.0683199999999999</v>
      </c>
      <c r="K289" s="156">
        <v>2922.5</v>
      </c>
      <c r="L289" s="156">
        <v>7.7673500000000006E-2</v>
      </c>
      <c r="M289" s="156">
        <v>0.442</v>
      </c>
      <c r="N289" s="156">
        <v>0.70704999999999996</v>
      </c>
      <c r="O289" s="156">
        <v>0.68616514699999998</v>
      </c>
      <c r="P289" s="156">
        <v>2.7</v>
      </c>
      <c r="Q289" s="159">
        <v>-0.35104099999999999</v>
      </c>
    </row>
    <row r="290" spans="1:17" ht="15" x14ac:dyDescent="0.25">
      <c r="A290" s="163" t="s">
        <v>710</v>
      </c>
      <c r="B290" s="163" t="s">
        <v>714</v>
      </c>
      <c r="C290" s="163">
        <v>4318</v>
      </c>
      <c r="D290" s="163">
        <v>54631</v>
      </c>
      <c r="E290" s="163">
        <v>26697</v>
      </c>
      <c r="F290" s="163">
        <v>3489</v>
      </c>
      <c r="G290" s="163">
        <v>33288</v>
      </c>
      <c r="H290" s="163">
        <v>2.0463300000000002</v>
      </c>
      <c r="I290" s="163">
        <v>1.95</v>
      </c>
      <c r="J290" s="163">
        <v>1.05019</v>
      </c>
      <c r="K290" s="163">
        <v>1406.18</v>
      </c>
      <c r="L290" s="163">
        <v>5.0036499999999998E-2</v>
      </c>
      <c r="M290" s="163">
        <v>0.442</v>
      </c>
      <c r="N290" s="163">
        <v>0.70704999999999996</v>
      </c>
      <c r="O290" s="163">
        <v>0.68616514699999998</v>
      </c>
      <c r="P290" s="163">
        <v>2.7</v>
      </c>
      <c r="Q290" s="164">
        <v>0.89852200000000004</v>
      </c>
    </row>
    <row r="291" spans="1:17" ht="15" x14ac:dyDescent="0.25">
      <c r="A291" s="156" t="s">
        <v>710</v>
      </c>
      <c r="B291" s="156" t="s">
        <v>718</v>
      </c>
      <c r="C291" s="156">
        <v>5393</v>
      </c>
      <c r="D291" s="156">
        <v>26860</v>
      </c>
      <c r="E291" s="156">
        <v>15119</v>
      </c>
      <c r="F291" s="156">
        <v>1040</v>
      </c>
      <c r="G291" s="156">
        <v>21408</v>
      </c>
      <c r="H291" s="156">
        <v>1.77657</v>
      </c>
      <c r="I291" s="156">
        <v>1.95</v>
      </c>
      <c r="J291" s="156">
        <v>1.1871499999999999</v>
      </c>
      <c r="K291" s="156">
        <v>2577.91</v>
      </c>
      <c r="L291" s="156">
        <v>0.14566999999999999</v>
      </c>
      <c r="M291" s="156">
        <v>0.442</v>
      </c>
      <c r="N291" s="156">
        <v>0.70704999999999996</v>
      </c>
      <c r="O291" s="156">
        <v>0.68616514699999998</v>
      </c>
      <c r="P291" s="156">
        <v>2.7</v>
      </c>
      <c r="Q291" s="159">
        <v>0.44437700000000002</v>
      </c>
    </row>
    <row r="292" spans="1:17" ht="15" x14ac:dyDescent="0.25">
      <c r="A292" s="163" t="s">
        <v>710</v>
      </c>
      <c r="B292" s="163" t="s">
        <v>716</v>
      </c>
      <c r="C292" s="163">
        <v>4866</v>
      </c>
      <c r="D292" s="163">
        <v>28031</v>
      </c>
      <c r="E292" s="163">
        <v>14912</v>
      </c>
      <c r="F292" s="163">
        <v>410</v>
      </c>
      <c r="G292" s="163">
        <v>21238</v>
      </c>
      <c r="H292" s="163">
        <v>1.8797600000000001</v>
      </c>
      <c r="I292" s="163">
        <v>1.95</v>
      </c>
      <c r="J292" s="163">
        <v>1.1912400000000001</v>
      </c>
      <c r="K292" s="163">
        <v>2749.02</v>
      </c>
      <c r="L292" s="163">
        <v>0.15565499999999999</v>
      </c>
      <c r="M292" s="163">
        <v>0.442</v>
      </c>
      <c r="N292" s="163">
        <v>0.70704999999999996</v>
      </c>
      <c r="O292" s="163">
        <v>0.68616514699999998</v>
      </c>
      <c r="P292" s="163">
        <v>2.7</v>
      </c>
      <c r="Q292" s="164">
        <v>-7.52911E-2</v>
      </c>
    </row>
    <row r="293" spans="1:17" ht="15" x14ac:dyDescent="0.25">
      <c r="A293" s="156" t="s">
        <v>710</v>
      </c>
      <c r="B293" s="156" t="s">
        <v>720</v>
      </c>
      <c r="C293" s="156">
        <v>5456</v>
      </c>
      <c r="D293" s="156">
        <v>414</v>
      </c>
      <c r="E293" s="156">
        <v>245</v>
      </c>
      <c r="F293" s="156">
        <v>41</v>
      </c>
      <c r="G293" s="156">
        <v>309</v>
      </c>
      <c r="H293" s="156">
        <v>1.6898</v>
      </c>
      <c r="I293" s="156">
        <v>1.95</v>
      </c>
      <c r="J293" s="156">
        <v>1.16574</v>
      </c>
      <c r="K293" s="156">
        <v>35.187899999999999</v>
      </c>
      <c r="L293" s="156">
        <v>0.125587</v>
      </c>
      <c r="M293" s="156">
        <v>0.442</v>
      </c>
      <c r="N293" s="156">
        <v>0.70704999999999996</v>
      </c>
      <c r="O293" s="156">
        <v>0.68616514699999998</v>
      </c>
      <c r="P293" s="156">
        <v>2.7</v>
      </c>
      <c r="Q293" s="159">
        <v>0.42163800000000001</v>
      </c>
    </row>
    <row r="294" spans="1:17" ht="15" x14ac:dyDescent="0.25">
      <c r="A294" s="163" t="s">
        <v>710</v>
      </c>
      <c r="B294" s="163" t="s">
        <v>728</v>
      </c>
      <c r="C294" s="163">
        <v>99914</v>
      </c>
      <c r="D294" s="163">
        <v>13575</v>
      </c>
      <c r="E294" s="163">
        <v>6688</v>
      </c>
      <c r="F294" s="163">
        <v>112</v>
      </c>
      <c r="G294" s="163">
        <v>7610</v>
      </c>
      <c r="H294" s="163">
        <v>2.0297499999999999</v>
      </c>
      <c r="I294" s="163">
        <v>1.95</v>
      </c>
      <c r="J294" s="163">
        <v>1.0457000000000001</v>
      </c>
      <c r="K294" s="163">
        <v>318.17399999999998</v>
      </c>
      <c r="L294" s="163">
        <v>4.54134E-2</v>
      </c>
      <c r="M294" s="163">
        <v>0.442</v>
      </c>
      <c r="N294" s="163">
        <v>0.70704999999999996</v>
      </c>
      <c r="O294" s="163">
        <v>0.68616514699999998</v>
      </c>
      <c r="P294" s="163">
        <v>2.7</v>
      </c>
      <c r="Q294" s="164">
        <v>-0.11930200000000001</v>
      </c>
    </row>
    <row r="295" spans="1:17" ht="15" x14ac:dyDescent="0.25">
      <c r="A295" s="156" t="s">
        <v>710</v>
      </c>
      <c r="B295" s="156" t="s">
        <v>724</v>
      </c>
      <c r="C295" s="156">
        <v>7448</v>
      </c>
      <c r="D295" s="156">
        <v>562</v>
      </c>
      <c r="E295" s="156">
        <v>293</v>
      </c>
      <c r="F295" s="156">
        <v>0</v>
      </c>
      <c r="G295" s="156">
        <v>1248</v>
      </c>
      <c r="H295" s="156">
        <v>1.9180900000000001</v>
      </c>
      <c r="I295" s="156">
        <v>1.95</v>
      </c>
      <c r="J295" s="156">
        <v>1.0476700000000001</v>
      </c>
      <c r="K295" s="156">
        <v>13.7393</v>
      </c>
      <c r="L295" s="156">
        <v>4.4791299999999999E-2</v>
      </c>
      <c r="M295" s="156">
        <v>0.442</v>
      </c>
      <c r="N295" s="156">
        <v>0.70704999999999996</v>
      </c>
      <c r="O295" s="156">
        <v>0.68616514699999998</v>
      </c>
      <c r="P295" s="156">
        <v>2.7</v>
      </c>
      <c r="Q295" s="159">
        <v>0.48255599999999998</v>
      </c>
    </row>
    <row r="296" spans="1:17" ht="15" x14ac:dyDescent="0.25">
      <c r="A296" s="163" t="s">
        <v>710</v>
      </c>
      <c r="B296" s="163" t="s">
        <v>726</v>
      </c>
      <c r="C296" s="163">
        <v>8836</v>
      </c>
      <c r="D296" s="163">
        <v>227655</v>
      </c>
      <c r="E296" s="163">
        <v>108048</v>
      </c>
      <c r="F296" s="163">
        <v>3394</v>
      </c>
      <c r="G296" s="163">
        <v>135682</v>
      </c>
      <c r="H296" s="163">
        <v>2.1069800000000001</v>
      </c>
      <c r="I296" s="163">
        <v>1.95</v>
      </c>
      <c r="J296" s="163">
        <v>1.0724800000000001</v>
      </c>
      <c r="K296" s="163">
        <v>8461.67</v>
      </c>
      <c r="L296" s="163">
        <v>7.2626399999999994E-2</v>
      </c>
      <c r="M296" s="163">
        <v>0.442</v>
      </c>
      <c r="N296" s="163">
        <v>0.70704999999999996</v>
      </c>
      <c r="O296" s="163">
        <v>0.68616514699999998</v>
      </c>
      <c r="P296" s="163">
        <v>2.7</v>
      </c>
      <c r="Q296" s="164">
        <v>-7.8014E-2</v>
      </c>
    </row>
    <row r="297" spans="1:17" ht="15" x14ac:dyDescent="0.25">
      <c r="A297" s="156" t="s">
        <v>729</v>
      </c>
      <c r="B297" s="156" t="s">
        <v>854</v>
      </c>
      <c r="C297" s="156">
        <v>21031</v>
      </c>
      <c r="D297" s="156">
        <v>351</v>
      </c>
      <c r="E297" s="156">
        <v>134</v>
      </c>
      <c r="F297" s="156">
        <v>0</v>
      </c>
      <c r="G297" s="156">
        <v>141</v>
      </c>
      <c r="H297" s="156">
        <v>2.6194000000000002</v>
      </c>
      <c r="I297" s="156">
        <v>1.95</v>
      </c>
      <c r="J297" s="156">
        <v>1.0383800000000001</v>
      </c>
      <c r="K297" s="156">
        <v>6.9077400000000004</v>
      </c>
      <c r="L297" s="156">
        <v>4.90231E-2</v>
      </c>
      <c r="M297" s="156">
        <v>0.56699999999999995</v>
      </c>
      <c r="N297" s="156">
        <v>0.77268000000000003</v>
      </c>
      <c r="O297" s="156">
        <v>0.68727722000000002</v>
      </c>
      <c r="P297" s="156">
        <v>2.2999999999999998</v>
      </c>
      <c r="Q297" s="159">
        <v>0</v>
      </c>
    </row>
    <row r="298" spans="1:17" ht="15" x14ac:dyDescent="0.25">
      <c r="A298" s="163" t="s">
        <v>729</v>
      </c>
      <c r="B298" s="163" t="s">
        <v>737</v>
      </c>
      <c r="C298" s="163">
        <v>7799</v>
      </c>
      <c r="D298" s="163">
        <v>784</v>
      </c>
      <c r="E298" s="163">
        <v>334</v>
      </c>
      <c r="F298" s="163">
        <v>0</v>
      </c>
      <c r="G298" s="163">
        <v>375</v>
      </c>
      <c r="H298" s="163">
        <v>2.3473099999999998</v>
      </c>
      <c r="I298" s="163">
        <v>1.95</v>
      </c>
      <c r="J298" s="163">
        <v>1.12032</v>
      </c>
      <c r="K298" s="163">
        <v>48.374099999999999</v>
      </c>
      <c r="L298" s="163">
        <v>0.12651000000000001</v>
      </c>
      <c r="M298" s="163">
        <v>0.56699999999999995</v>
      </c>
      <c r="N298" s="163">
        <v>0.77268000000000003</v>
      </c>
      <c r="O298" s="163">
        <v>0.68727722000000002</v>
      </c>
      <c r="P298" s="163">
        <v>2.2999999999999998</v>
      </c>
      <c r="Q298" s="164">
        <v>-0.33035700000000001</v>
      </c>
    </row>
    <row r="299" spans="1:17" ht="15" x14ac:dyDescent="0.25">
      <c r="A299" s="156" t="s">
        <v>729</v>
      </c>
      <c r="B299" s="156" t="s">
        <v>733</v>
      </c>
      <c r="C299" s="156">
        <v>6519</v>
      </c>
      <c r="D299" s="156">
        <v>8719</v>
      </c>
      <c r="E299" s="156">
        <v>3692</v>
      </c>
      <c r="F299" s="156">
        <v>389</v>
      </c>
      <c r="G299" s="156">
        <v>4554</v>
      </c>
      <c r="H299" s="156">
        <v>2.3615900000000001</v>
      </c>
      <c r="I299" s="156">
        <v>1.95</v>
      </c>
      <c r="J299" s="156">
        <v>1.15039</v>
      </c>
      <c r="K299" s="156">
        <v>672.44799999999998</v>
      </c>
      <c r="L299" s="156">
        <v>0.15407399999999999</v>
      </c>
      <c r="M299" s="156">
        <v>0.56699999999999995</v>
      </c>
      <c r="N299" s="156">
        <v>0.77268000000000003</v>
      </c>
      <c r="O299" s="156">
        <v>0.68727722000000002</v>
      </c>
      <c r="P299" s="156">
        <v>2.2999999999999998</v>
      </c>
      <c r="Q299" s="159">
        <v>-0.42970000000000003</v>
      </c>
    </row>
    <row r="300" spans="1:17" ht="15" x14ac:dyDescent="0.25">
      <c r="A300" s="163" t="s">
        <v>729</v>
      </c>
      <c r="B300" s="163" t="s">
        <v>741</v>
      </c>
      <c r="C300" s="163">
        <v>8193</v>
      </c>
      <c r="D300" s="163">
        <v>866</v>
      </c>
      <c r="E300" s="163">
        <v>278</v>
      </c>
      <c r="F300" s="163">
        <v>0</v>
      </c>
      <c r="G300" s="163">
        <v>330</v>
      </c>
      <c r="H300" s="163">
        <v>3.11511</v>
      </c>
      <c r="I300" s="163">
        <v>1.95</v>
      </c>
      <c r="J300" s="163">
        <v>1</v>
      </c>
      <c r="K300" s="163">
        <v>0</v>
      </c>
      <c r="L300" s="163">
        <v>0</v>
      </c>
      <c r="M300" s="163">
        <v>0.56699999999999995</v>
      </c>
      <c r="N300" s="163">
        <v>0.77268000000000003</v>
      </c>
      <c r="O300" s="163">
        <v>0.68727722000000002</v>
      </c>
      <c r="P300" s="163">
        <v>2.2999999999999998</v>
      </c>
      <c r="Q300" s="164">
        <v>-0.64696100000000001</v>
      </c>
    </row>
    <row r="301" spans="1:17" ht="15" x14ac:dyDescent="0.25">
      <c r="A301" s="156" t="s">
        <v>729</v>
      </c>
      <c r="B301" s="156" t="s">
        <v>743</v>
      </c>
      <c r="C301" s="156">
        <v>10488</v>
      </c>
      <c r="D301" s="156">
        <v>753</v>
      </c>
      <c r="E301" s="156">
        <v>292</v>
      </c>
      <c r="F301" s="156">
        <v>0</v>
      </c>
      <c r="G301" s="156">
        <v>350</v>
      </c>
      <c r="H301" s="156">
        <v>2.57877</v>
      </c>
      <c r="I301" s="156">
        <v>1.95</v>
      </c>
      <c r="J301" s="156">
        <v>1.1293500000000001</v>
      </c>
      <c r="K301" s="156">
        <v>49.947400000000002</v>
      </c>
      <c r="L301" s="156">
        <v>0.146067</v>
      </c>
      <c r="M301" s="156">
        <v>0.56699999999999995</v>
      </c>
      <c r="N301" s="156">
        <v>0.77268000000000003</v>
      </c>
      <c r="O301" s="156">
        <v>0.68727722000000002</v>
      </c>
      <c r="P301" s="156">
        <v>2.2999999999999998</v>
      </c>
      <c r="Q301" s="159">
        <v>-0.78544099999999994</v>
      </c>
    </row>
    <row r="302" spans="1:17" ht="15" x14ac:dyDescent="0.25">
      <c r="A302" s="163" t="s">
        <v>729</v>
      </c>
      <c r="B302" s="163" t="s">
        <v>735</v>
      </c>
      <c r="C302" s="163">
        <v>7185</v>
      </c>
      <c r="D302" s="163">
        <v>2991</v>
      </c>
      <c r="E302" s="163">
        <v>1172</v>
      </c>
      <c r="F302" s="163">
        <v>0</v>
      </c>
      <c r="G302" s="163">
        <v>1513</v>
      </c>
      <c r="H302" s="163">
        <v>2.5520499999999999</v>
      </c>
      <c r="I302" s="163">
        <v>1.95</v>
      </c>
      <c r="J302" s="163">
        <v>1.0651900000000001</v>
      </c>
      <c r="K302" s="163">
        <v>99.989199999999997</v>
      </c>
      <c r="L302" s="163">
        <v>7.8608499999999998E-2</v>
      </c>
      <c r="M302" s="163">
        <v>0.56699999999999995</v>
      </c>
      <c r="N302" s="163">
        <v>0.77268000000000003</v>
      </c>
      <c r="O302" s="163">
        <v>0.68727722000000002</v>
      </c>
      <c r="P302" s="163">
        <v>2.2999999999999998</v>
      </c>
      <c r="Q302" s="164">
        <v>-0.66073499999999996</v>
      </c>
    </row>
    <row r="303" spans="1:17" ht="15" x14ac:dyDescent="0.25">
      <c r="A303" s="156" t="s">
        <v>729</v>
      </c>
      <c r="B303" s="156" t="s">
        <v>739</v>
      </c>
      <c r="C303" s="156">
        <v>8135</v>
      </c>
      <c r="D303" s="156">
        <v>30314</v>
      </c>
      <c r="E303" s="156">
        <v>14775</v>
      </c>
      <c r="F303" s="156">
        <v>6637</v>
      </c>
      <c r="G303" s="156">
        <v>18007</v>
      </c>
      <c r="H303" s="156">
        <v>2.0517099999999999</v>
      </c>
      <c r="I303" s="156">
        <v>1.95</v>
      </c>
      <c r="J303" s="156">
        <v>1.11429</v>
      </c>
      <c r="K303" s="156">
        <v>1776.68</v>
      </c>
      <c r="L303" s="156">
        <v>0.10734100000000001</v>
      </c>
      <c r="M303" s="156">
        <v>0.56699999999999995</v>
      </c>
      <c r="N303" s="156">
        <v>0.77268000000000003</v>
      </c>
      <c r="O303" s="156">
        <v>0.68727722000000002</v>
      </c>
      <c r="P303" s="156">
        <v>2.2999999999999998</v>
      </c>
      <c r="Q303" s="159">
        <v>-0.47096700000000002</v>
      </c>
    </row>
    <row r="304" spans="1:17" ht="15" x14ac:dyDescent="0.25">
      <c r="A304" s="163" t="s">
        <v>729</v>
      </c>
      <c r="B304" s="163" t="s">
        <v>748</v>
      </c>
      <c r="C304" s="163">
        <v>13123</v>
      </c>
      <c r="D304" s="163">
        <v>88</v>
      </c>
      <c r="E304" s="163">
        <v>36</v>
      </c>
      <c r="F304" s="163">
        <v>0</v>
      </c>
      <c r="G304" s="163">
        <v>36</v>
      </c>
      <c r="H304" s="163">
        <v>2.4444400000000002</v>
      </c>
      <c r="I304" s="163">
        <v>1.95</v>
      </c>
      <c r="J304" s="163">
        <v>1.0651900000000001</v>
      </c>
      <c r="K304" s="163">
        <v>2.94184</v>
      </c>
      <c r="L304" s="163">
        <v>7.5544500000000001E-2</v>
      </c>
      <c r="M304" s="163">
        <v>0.56699999999999995</v>
      </c>
      <c r="N304" s="163">
        <v>0.77268000000000003</v>
      </c>
      <c r="O304" s="163">
        <v>0.68727722000000002</v>
      </c>
      <c r="P304" s="163">
        <v>2.2999999999999998</v>
      </c>
      <c r="Q304" s="164">
        <v>-0.66073499999999996</v>
      </c>
    </row>
    <row r="305" spans="1:17" ht="15" x14ac:dyDescent="0.25">
      <c r="A305" s="156" t="s">
        <v>729</v>
      </c>
      <c r="B305" s="156" t="s">
        <v>752</v>
      </c>
      <c r="C305" s="156">
        <v>20901</v>
      </c>
      <c r="D305" s="156">
        <v>1383</v>
      </c>
      <c r="E305" s="156">
        <v>779</v>
      </c>
      <c r="F305" s="156">
        <v>0</v>
      </c>
      <c r="G305" s="156">
        <v>1368</v>
      </c>
      <c r="H305" s="156">
        <v>1.77535</v>
      </c>
      <c r="I305" s="156">
        <v>1.95</v>
      </c>
      <c r="J305" s="156">
        <v>1.0120100000000001</v>
      </c>
      <c r="K305" s="156">
        <v>8.5162399999999998</v>
      </c>
      <c r="L305" s="156">
        <v>1.0814000000000001E-2</v>
      </c>
      <c r="M305" s="156">
        <v>0.56699999999999995</v>
      </c>
      <c r="N305" s="156">
        <v>0.77268000000000003</v>
      </c>
      <c r="O305" s="156">
        <v>0.68727722000000002</v>
      </c>
      <c r="P305" s="156">
        <v>2.2999999999999998</v>
      </c>
      <c r="Q305" s="159">
        <v>-0.61822200000000005</v>
      </c>
    </row>
    <row r="306" spans="1:17" ht="15" x14ac:dyDescent="0.25">
      <c r="A306" s="163" t="s">
        <v>729</v>
      </c>
      <c r="B306" s="163" t="s">
        <v>855</v>
      </c>
      <c r="C306" s="163">
        <v>12434</v>
      </c>
      <c r="D306" s="163">
        <v>204</v>
      </c>
      <c r="E306" s="163">
        <v>70</v>
      </c>
      <c r="F306" s="163">
        <v>0</v>
      </c>
      <c r="G306" s="163">
        <v>87</v>
      </c>
      <c r="H306" s="163">
        <v>2.9142899999999998</v>
      </c>
      <c r="I306" s="163">
        <v>1.95</v>
      </c>
      <c r="J306" s="163">
        <v>1.1347700000000001</v>
      </c>
      <c r="K306" s="163">
        <v>14.099299999999999</v>
      </c>
      <c r="L306" s="163">
        <v>0.16764999999999999</v>
      </c>
      <c r="M306" s="163">
        <v>0.56699999999999995</v>
      </c>
      <c r="N306" s="163">
        <v>0.77268000000000003</v>
      </c>
      <c r="O306" s="163">
        <v>0.68727722000000002</v>
      </c>
      <c r="P306" s="163">
        <v>2.2999999999999998</v>
      </c>
      <c r="Q306" s="164">
        <v>-0.66073499999999996</v>
      </c>
    </row>
    <row r="307" spans="1:17" ht="15" x14ac:dyDescent="0.25">
      <c r="A307" s="156" t="s">
        <v>729</v>
      </c>
      <c r="B307" s="156" t="s">
        <v>731</v>
      </c>
      <c r="C307" s="156">
        <v>1368</v>
      </c>
      <c r="D307" s="156">
        <v>5392</v>
      </c>
      <c r="E307" s="156">
        <v>2391</v>
      </c>
      <c r="F307" s="156">
        <v>0</v>
      </c>
      <c r="G307" s="156">
        <v>3106</v>
      </c>
      <c r="H307" s="156">
        <v>2.2551199999999998</v>
      </c>
      <c r="I307" s="156">
        <v>1.95</v>
      </c>
      <c r="J307" s="156">
        <v>1.2288600000000001</v>
      </c>
      <c r="K307" s="156">
        <v>632.83500000000004</v>
      </c>
      <c r="L307" s="156">
        <v>0.209282</v>
      </c>
      <c r="M307" s="156">
        <v>0.56699999999999995</v>
      </c>
      <c r="N307" s="156">
        <v>0.77268000000000003</v>
      </c>
      <c r="O307" s="156">
        <v>0.68727722000000002</v>
      </c>
      <c r="P307" s="156">
        <v>2.2999999999999998</v>
      </c>
      <c r="Q307" s="159">
        <v>-0.66216200000000003</v>
      </c>
    </row>
    <row r="308" spans="1:17" ht="15" x14ac:dyDescent="0.25">
      <c r="A308" s="163" t="s">
        <v>729</v>
      </c>
      <c r="B308" s="163" t="s">
        <v>744</v>
      </c>
      <c r="C308" s="163">
        <v>12584</v>
      </c>
      <c r="D308" s="163">
        <v>29</v>
      </c>
      <c r="E308" s="163">
        <v>5</v>
      </c>
      <c r="F308" s="163">
        <v>0</v>
      </c>
      <c r="G308" s="163">
        <v>15</v>
      </c>
      <c r="H308" s="163">
        <v>5.8</v>
      </c>
      <c r="I308" s="163">
        <v>1.95</v>
      </c>
      <c r="J308" s="163">
        <v>1.0507</v>
      </c>
      <c r="K308" s="163">
        <v>0.75400999999999996</v>
      </c>
      <c r="L308" s="163">
        <v>0.13104099999999999</v>
      </c>
      <c r="M308" s="163">
        <v>0.56699999999999995</v>
      </c>
      <c r="N308" s="163">
        <v>0.77268000000000003</v>
      </c>
      <c r="O308" s="163">
        <v>0.68727722000000002</v>
      </c>
      <c r="P308" s="163">
        <v>2.2999999999999998</v>
      </c>
      <c r="Q308" s="164">
        <v>-0.14594399999999999</v>
      </c>
    </row>
    <row r="309" spans="1:17" ht="15" x14ac:dyDescent="0.25">
      <c r="A309" s="156" t="s">
        <v>729</v>
      </c>
      <c r="B309" s="156" t="s">
        <v>750</v>
      </c>
      <c r="C309" s="156">
        <v>20721</v>
      </c>
      <c r="D309" s="156">
        <v>7863</v>
      </c>
      <c r="E309" s="156">
        <v>4288</v>
      </c>
      <c r="F309" s="156">
        <v>6100</v>
      </c>
      <c r="G309" s="156">
        <v>5957</v>
      </c>
      <c r="H309" s="156">
        <v>1.83372</v>
      </c>
      <c r="I309" s="156">
        <v>1.95</v>
      </c>
      <c r="J309" s="156">
        <v>1.03338</v>
      </c>
      <c r="K309" s="156">
        <v>134.601</v>
      </c>
      <c r="L309" s="156">
        <v>3.0434800000000001E-2</v>
      </c>
      <c r="M309" s="156">
        <v>0.56699999999999995</v>
      </c>
      <c r="N309" s="156">
        <v>0.77268000000000003</v>
      </c>
      <c r="O309" s="156">
        <v>0.68727722000000002</v>
      </c>
      <c r="P309" s="156">
        <v>2.2999999999999998</v>
      </c>
      <c r="Q309" s="159">
        <v>-0.377386</v>
      </c>
    </row>
    <row r="310" spans="1:17" ht="15" x14ac:dyDescent="0.25">
      <c r="A310" s="163" t="s">
        <v>729</v>
      </c>
      <c r="B310" s="163" t="s">
        <v>856</v>
      </c>
      <c r="C310" s="163">
        <v>20095</v>
      </c>
      <c r="D310" s="163">
        <v>286</v>
      </c>
      <c r="E310" s="163">
        <v>107</v>
      </c>
      <c r="F310" s="163">
        <v>0</v>
      </c>
      <c r="G310" s="163">
        <v>126</v>
      </c>
      <c r="H310" s="163">
        <v>2.6728999999999998</v>
      </c>
      <c r="I310" s="163">
        <v>1.95</v>
      </c>
      <c r="J310" s="163">
        <v>1.1347700000000001</v>
      </c>
      <c r="K310" s="163">
        <v>19.7666</v>
      </c>
      <c r="L310" s="163">
        <v>0.15592900000000001</v>
      </c>
      <c r="M310" s="163">
        <v>0.56699999999999995</v>
      </c>
      <c r="N310" s="163">
        <v>0.77268000000000003</v>
      </c>
      <c r="O310" s="163">
        <v>0.68727722000000002</v>
      </c>
      <c r="P310" s="163">
        <v>2.2999999999999998</v>
      </c>
      <c r="Q310" s="164">
        <v>-0.46862100000000001</v>
      </c>
    </row>
    <row r="311" spans="1:17" ht="15" x14ac:dyDescent="0.25">
      <c r="A311" s="156" t="s">
        <v>729</v>
      </c>
      <c r="B311" s="156" t="s">
        <v>746</v>
      </c>
      <c r="C311" s="156">
        <v>13005</v>
      </c>
      <c r="D311" s="156">
        <v>83051</v>
      </c>
      <c r="E311" s="156">
        <v>47148</v>
      </c>
      <c r="F311" s="156">
        <v>68</v>
      </c>
      <c r="G311" s="156">
        <v>54784</v>
      </c>
      <c r="H311" s="156">
        <v>1.7615000000000001</v>
      </c>
      <c r="I311" s="156">
        <v>1.95</v>
      </c>
      <c r="J311" s="156">
        <v>1.0325</v>
      </c>
      <c r="K311" s="156">
        <v>1384.25</v>
      </c>
      <c r="L311" s="156">
        <v>2.85223E-2</v>
      </c>
      <c r="M311" s="156">
        <v>0.56699999999999995</v>
      </c>
      <c r="N311" s="156">
        <v>0.77268000000000003</v>
      </c>
      <c r="O311" s="156">
        <v>0.68727722000000002</v>
      </c>
      <c r="P311" s="156">
        <v>2.2999999999999998</v>
      </c>
      <c r="Q311" s="159">
        <v>-0.14257300000000001</v>
      </c>
    </row>
    <row r="312" spans="1:17" ht="15" x14ac:dyDescent="0.25">
      <c r="A312" s="163"/>
      <c r="B312" s="163"/>
      <c r="C312" s="163"/>
      <c r="D312" s="163"/>
      <c r="E312" s="163"/>
      <c r="F312" s="163"/>
      <c r="G312" s="163"/>
      <c r="H312" s="163"/>
      <c r="I312" s="163"/>
      <c r="J312" s="163"/>
      <c r="K312" s="163"/>
      <c r="L312" s="163"/>
      <c r="M312" s="163"/>
      <c r="N312" s="163"/>
      <c r="O312" s="163"/>
      <c r="P312" s="163"/>
      <c r="Q312" s="165"/>
    </row>
    <row r="313" spans="1:17" ht="15" x14ac:dyDescent="0.25">
      <c r="A313" s="156"/>
      <c r="B313" s="156"/>
      <c r="C313" s="156"/>
      <c r="D313" s="156"/>
      <c r="E313" s="156"/>
      <c r="F313" s="156"/>
      <c r="G313" s="156"/>
      <c r="H313" s="156"/>
      <c r="I313" s="156"/>
      <c r="J313" s="156"/>
      <c r="K313" s="156"/>
      <c r="L313" s="156"/>
      <c r="M313" s="156"/>
      <c r="N313" s="156"/>
      <c r="O313" s="156"/>
      <c r="P313" s="156"/>
      <c r="Q313" s="157"/>
    </row>
    <row r="314" spans="1:17" ht="15" x14ac:dyDescent="0.25">
      <c r="A314" s="156"/>
      <c r="B314" s="156"/>
      <c r="C314" s="156"/>
      <c r="D314" s="156"/>
      <c r="E314" s="156"/>
      <c r="F314" s="156"/>
      <c r="G314" s="156"/>
      <c r="H314" s="156"/>
      <c r="I314" s="156"/>
      <c r="J314" s="156"/>
      <c r="K314" s="156"/>
      <c r="L314" s="156"/>
      <c r="M314" s="156"/>
      <c r="N314" s="156"/>
      <c r="O314" s="156"/>
      <c r="P314" s="156"/>
      <c r="Q314" s="157"/>
    </row>
  </sheetData>
  <pageMargins left="0.7" right="0.7" top="0.75" bottom="0.75" header="0.3" footer="0.3"/>
  <pageSetup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C330"/>
  <sheetViews>
    <sheetView workbookViewId="0"/>
  </sheetViews>
  <sheetFormatPr defaultColWidth="9" defaultRowHeight="14.25" x14ac:dyDescent="0.2"/>
  <cols>
    <col min="1" max="1" width="23.5" style="98" bestFit="1" customWidth="1"/>
    <col min="2" max="2" width="11.5" style="98" bestFit="1" customWidth="1"/>
    <col min="3" max="3" width="70" style="98" bestFit="1" customWidth="1"/>
    <col min="4" max="4" width="10.625" style="98" bestFit="1" customWidth="1"/>
    <col min="5" max="16" width="7.75" style="99" bestFit="1" customWidth="1"/>
    <col min="17" max="25" width="7.75" style="98" bestFit="1" customWidth="1"/>
    <col min="26" max="28" width="8.875" style="98" bestFit="1" customWidth="1"/>
    <col min="29" max="16384" width="9" style="98"/>
  </cols>
  <sheetData>
    <row r="1" spans="1:29" ht="15" x14ac:dyDescent="0.25">
      <c r="A1" s="141" t="s">
        <v>857</v>
      </c>
      <c r="AB1" s="142"/>
    </row>
    <row r="2" spans="1:29" ht="15" x14ac:dyDescent="0.25">
      <c r="A2" s="138" t="s">
        <v>858</v>
      </c>
      <c r="B2" s="139"/>
      <c r="C2" s="140">
        <v>45671</v>
      </c>
      <c r="AB2" s="142"/>
    </row>
    <row r="3" spans="1:29" x14ac:dyDescent="0.2">
      <c r="C3" s="98">
        <v>2</v>
      </c>
      <c r="D3" s="98">
        <v>3</v>
      </c>
      <c r="E3" s="98">
        <v>4</v>
      </c>
      <c r="F3" s="98">
        <v>5</v>
      </c>
      <c r="G3" s="98">
        <v>6</v>
      </c>
      <c r="H3" s="98">
        <v>7</v>
      </c>
      <c r="I3" s="98">
        <v>8</v>
      </c>
      <c r="J3" s="98">
        <v>9</v>
      </c>
      <c r="K3" s="98">
        <v>10</v>
      </c>
      <c r="L3" s="98">
        <v>11</v>
      </c>
      <c r="M3" s="98">
        <v>12</v>
      </c>
      <c r="N3" s="98">
        <v>13</v>
      </c>
      <c r="O3" s="98">
        <v>14</v>
      </c>
      <c r="P3" s="98">
        <v>15</v>
      </c>
      <c r="Q3" s="98">
        <v>16</v>
      </c>
      <c r="R3" s="98">
        <v>17</v>
      </c>
      <c r="S3" s="98">
        <v>18</v>
      </c>
      <c r="T3" s="98">
        <v>19</v>
      </c>
      <c r="U3" s="98">
        <v>20</v>
      </c>
      <c r="V3" s="98">
        <v>21</v>
      </c>
      <c r="W3" s="98">
        <v>22</v>
      </c>
      <c r="X3" s="98">
        <v>23</v>
      </c>
      <c r="Y3" s="98">
        <v>24</v>
      </c>
      <c r="Z3" s="98">
        <v>25</v>
      </c>
      <c r="AA3" s="98">
        <v>26</v>
      </c>
      <c r="AB3" s="142">
        <v>27</v>
      </c>
    </row>
    <row r="4" spans="1:29" s="103" customFormat="1" ht="15" x14ac:dyDescent="0.25">
      <c r="A4" s="147" t="s">
        <v>323</v>
      </c>
      <c r="B4" s="148" t="s">
        <v>859</v>
      </c>
      <c r="C4" s="148" t="s">
        <v>860</v>
      </c>
      <c r="D4" s="148" t="s">
        <v>861</v>
      </c>
      <c r="E4" s="149">
        <v>2000</v>
      </c>
      <c r="F4" s="149">
        <v>2001</v>
      </c>
      <c r="G4" s="149">
        <v>2002</v>
      </c>
      <c r="H4" s="149">
        <v>2003</v>
      </c>
      <c r="I4" s="149">
        <v>2004</v>
      </c>
      <c r="J4" s="149">
        <v>2005</v>
      </c>
      <c r="K4" s="149">
        <v>2006</v>
      </c>
      <c r="L4" s="149">
        <v>2007</v>
      </c>
      <c r="M4" s="149">
        <v>2008</v>
      </c>
      <c r="N4" s="149">
        <v>2009</v>
      </c>
      <c r="O4" s="149">
        <v>2010</v>
      </c>
      <c r="P4" s="149">
        <v>2011</v>
      </c>
      <c r="Q4" s="149">
        <v>2012</v>
      </c>
      <c r="R4" s="149">
        <v>2013</v>
      </c>
      <c r="S4" s="149">
        <v>2014</v>
      </c>
      <c r="T4" s="149">
        <v>2015</v>
      </c>
      <c r="U4" s="149">
        <v>2016</v>
      </c>
      <c r="V4" s="149">
        <v>2017</v>
      </c>
      <c r="W4" s="149">
        <v>2018</v>
      </c>
      <c r="X4" s="149">
        <v>2019</v>
      </c>
      <c r="Y4" s="149">
        <v>2020</v>
      </c>
      <c r="Z4" s="149">
        <v>2021</v>
      </c>
      <c r="AA4" s="149">
        <v>2022</v>
      </c>
      <c r="AB4" s="149">
        <v>2023</v>
      </c>
    </row>
    <row r="5" spans="1:29" x14ac:dyDescent="0.2">
      <c r="A5" s="104" t="s">
        <v>337</v>
      </c>
      <c r="B5" s="104">
        <v>718</v>
      </c>
      <c r="C5" s="104" t="s">
        <v>862</v>
      </c>
      <c r="D5" s="105" t="s">
        <v>863</v>
      </c>
      <c r="E5" s="106">
        <v>1229</v>
      </c>
      <c r="F5" s="106">
        <v>1247</v>
      </c>
      <c r="G5" s="106">
        <v>2047</v>
      </c>
      <c r="H5" s="106">
        <v>1985</v>
      </c>
      <c r="I5" s="106">
        <v>2061</v>
      </c>
      <c r="J5" s="106">
        <v>2063</v>
      </c>
      <c r="K5" s="106">
        <v>1855</v>
      </c>
      <c r="L5" s="106">
        <v>2111</v>
      </c>
      <c r="M5" s="106">
        <v>1940</v>
      </c>
      <c r="N5" s="106">
        <v>1938</v>
      </c>
      <c r="O5" s="106">
        <v>1943</v>
      </c>
      <c r="P5" s="106">
        <v>1941</v>
      </c>
      <c r="Q5" s="106">
        <v>1946</v>
      </c>
      <c r="R5" s="106">
        <v>1951</v>
      </c>
      <c r="S5" s="106">
        <v>1961</v>
      </c>
      <c r="T5" s="150">
        <v>1968</v>
      </c>
      <c r="U5" s="150">
        <v>1975</v>
      </c>
      <c r="V5" s="150">
        <v>1982</v>
      </c>
      <c r="W5" s="150">
        <v>1988</v>
      </c>
      <c r="X5" s="150">
        <v>1990</v>
      </c>
      <c r="Y5" s="150">
        <v>2003</v>
      </c>
      <c r="Z5" s="150">
        <v>2013</v>
      </c>
      <c r="AA5" s="150">
        <v>2012</v>
      </c>
      <c r="AB5" s="150">
        <v>2022</v>
      </c>
      <c r="AC5" s="142"/>
    </row>
    <row r="6" spans="1:29" x14ac:dyDescent="0.2">
      <c r="A6" s="104" t="s">
        <v>337</v>
      </c>
      <c r="B6" s="104">
        <v>871</v>
      </c>
      <c r="C6" s="104" t="s">
        <v>864</v>
      </c>
      <c r="D6" s="105" t="s">
        <v>863</v>
      </c>
      <c r="E6" s="106">
        <v>14534</v>
      </c>
      <c r="F6" s="106">
        <v>14867</v>
      </c>
      <c r="G6" s="106">
        <v>15444</v>
      </c>
      <c r="H6" s="106">
        <v>15750</v>
      </c>
      <c r="I6" s="106">
        <v>15974</v>
      </c>
      <c r="J6" s="106">
        <v>16828</v>
      </c>
      <c r="K6" s="106">
        <v>13953</v>
      </c>
      <c r="L6" s="106">
        <v>17488</v>
      </c>
      <c r="M6" s="106">
        <v>17557</v>
      </c>
      <c r="N6" s="106">
        <v>17593</v>
      </c>
      <c r="O6" s="106">
        <v>17593</v>
      </c>
      <c r="P6" s="106">
        <v>17512</v>
      </c>
      <c r="Q6" s="106">
        <v>17807</v>
      </c>
      <c r="R6" s="106">
        <v>17614</v>
      </c>
      <c r="S6" s="106">
        <v>17725</v>
      </c>
      <c r="T6" s="150">
        <v>17894</v>
      </c>
      <c r="U6" s="150">
        <v>18080</v>
      </c>
      <c r="V6" s="150">
        <v>18581</v>
      </c>
      <c r="W6" s="150">
        <v>18996</v>
      </c>
      <c r="X6" s="150">
        <v>19319</v>
      </c>
      <c r="Y6" s="150">
        <v>19649</v>
      </c>
      <c r="Z6" s="150">
        <v>19946</v>
      </c>
      <c r="AA6" s="150">
        <v>20404</v>
      </c>
      <c r="AB6" s="150">
        <v>20575</v>
      </c>
      <c r="AC6" s="142"/>
    </row>
    <row r="7" spans="1:29" x14ac:dyDescent="0.2">
      <c r="A7" s="104" t="s">
        <v>337</v>
      </c>
      <c r="B7" s="104">
        <v>1512</v>
      </c>
      <c r="C7" s="104" t="s">
        <v>865</v>
      </c>
      <c r="D7" s="105" t="s">
        <v>863</v>
      </c>
      <c r="E7" s="106">
        <v>2222.75</v>
      </c>
      <c r="F7" s="106">
        <v>2234</v>
      </c>
      <c r="G7" s="106">
        <v>2254</v>
      </c>
      <c r="H7" s="106">
        <v>2264</v>
      </c>
      <c r="I7" s="106">
        <v>1870</v>
      </c>
      <c r="J7" s="106">
        <v>1852</v>
      </c>
      <c r="K7" s="106">
        <v>2076</v>
      </c>
      <c r="L7" s="106">
        <v>1927</v>
      </c>
      <c r="M7" s="106">
        <v>2094</v>
      </c>
      <c r="N7" s="106">
        <v>2096</v>
      </c>
      <c r="O7" s="106">
        <v>2099</v>
      </c>
      <c r="P7" s="106">
        <v>2099</v>
      </c>
      <c r="Q7" s="106">
        <v>2129</v>
      </c>
      <c r="R7" s="106">
        <v>2129</v>
      </c>
      <c r="S7" s="106">
        <v>1687</v>
      </c>
      <c r="T7" s="150">
        <v>1730</v>
      </c>
      <c r="U7" s="150">
        <v>1746</v>
      </c>
      <c r="V7" s="150">
        <v>2212</v>
      </c>
      <c r="W7" s="150">
        <v>2188</v>
      </c>
      <c r="X7" s="150">
        <v>2218</v>
      </c>
      <c r="Y7" s="150">
        <v>2219</v>
      </c>
      <c r="Z7" s="150">
        <v>2231</v>
      </c>
      <c r="AA7" s="150">
        <v>2277</v>
      </c>
      <c r="AB7" s="150">
        <v>2285</v>
      </c>
      <c r="AC7" s="142"/>
    </row>
    <row r="8" spans="1:29" x14ac:dyDescent="0.2">
      <c r="A8" s="104" t="s">
        <v>337</v>
      </c>
      <c r="B8" s="104">
        <v>3522</v>
      </c>
      <c r="C8" s="104" t="s">
        <v>345</v>
      </c>
      <c r="D8" s="105" t="s">
        <v>863</v>
      </c>
      <c r="E8" s="106">
        <v>0</v>
      </c>
      <c r="F8" s="106">
        <v>1472</v>
      </c>
      <c r="G8" s="106">
        <v>2028</v>
      </c>
      <c r="H8" s="106">
        <v>0</v>
      </c>
      <c r="I8" s="106">
        <v>0</v>
      </c>
      <c r="J8" s="106">
        <v>2597</v>
      </c>
      <c r="K8" s="106">
        <v>2816</v>
      </c>
      <c r="L8" s="106">
        <v>2860</v>
      </c>
      <c r="M8" s="106">
        <v>2880</v>
      </c>
      <c r="N8" s="106">
        <v>3019</v>
      </c>
      <c r="O8" s="106">
        <v>3144</v>
      </c>
      <c r="P8" s="106">
        <v>3148</v>
      </c>
      <c r="Q8" s="106">
        <v>3196</v>
      </c>
      <c r="R8" s="106">
        <v>3197</v>
      </c>
      <c r="S8" s="106">
        <v>3265</v>
      </c>
      <c r="T8" s="150">
        <v>3280</v>
      </c>
      <c r="U8" s="150">
        <v>3284</v>
      </c>
      <c r="V8" s="150">
        <v>3322</v>
      </c>
      <c r="W8" s="150">
        <v>3389</v>
      </c>
      <c r="X8" s="150">
        <v>3473</v>
      </c>
      <c r="Y8" s="150">
        <v>3349</v>
      </c>
      <c r="Z8" s="150">
        <v>3573</v>
      </c>
      <c r="AA8" s="150">
        <v>3928</v>
      </c>
      <c r="AB8" s="150">
        <v>4433</v>
      </c>
      <c r="AC8" s="142"/>
    </row>
    <row r="9" spans="1:29" x14ac:dyDescent="0.2">
      <c r="A9" s="104" t="s">
        <v>337</v>
      </c>
      <c r="B9" s="104">
        <v>7104</v>
      </c>
      <c r="C9" s="104" t="s">
        <v>866</v>
      </c>
      <c r="D9" s="105" t="s">
        <v>863</v>
      </c>
      <c r="E9" s="106">
        <v>0</v>
      </c>
      <c r="F9" s="106">
        <v>0</v>
      </c>
      <c r="G9" s="106">
        <v>0</v>
      </c>
      <c r="H9" s="106">
        <v>0</v>
      </c>
      <c r="I9" s="106">
        <v>0</v>
      </c>
      <c r="J9" s="106">
        <v>48770</v>
      </c>
      <c r="K9" s="106">
        <v>57873</v>
      </c>
      <c r="L9" s="106">
        <v>58714</v>
      </c>
      <c r="M9" s="106">
        <v>59146</v>
      </c>
      <c r="N9" s="106">
        <v>59137</v>
      </c>
      <c r="O9" s="106">
        <v>57911</v>
      </c>
      <c r="P9" s="106">
        <v>57473</v>
      </c>
      <c r="Q9" s="106">
        <v>58316</v>
      </c>
      <c r="R9" s="106">
        <v>58534</v>
      </c>
      <c r="S9" s="106">
        <v>58876</v>
      </c>
      <c r="T9" s="150">
        <v>59465</v>
      </c>
      <c r="U9" s="150">
        <v>60587</v>
      </c>
      <c r="V9" s="150">
        <v>61237</v>
      </c>
      <c r="W9" s="150">
        <v>61920</v>
      </c>
      <c r="X9" s="150">
        <v>56423</v>
      </c>
      <c r="Y9" s="150">
        <v>64435</v>
      </c>
      <c r="Z9" s="150">
        <v>66340</v>
      </c>
      <c r="AA9" s="150">
        <v>68070</v>
      </c>
      <c r="AB9" s="150">
        <v>69981</v>
      </c>
      <c r="AC9" s="142"/>
    </row>
    <row r="10" spans="1:29" x14ac:dyDescent="0.2">
      <c r="A10" s="104" t="s">
        <v>337</v>
      </c>
      <c r="B10" s="104">
        <v>7768</v>
      </c>
      <c r="C10" s="104" t="s">
        <v>867</v>
      </c>
      <c r="D10" s="105" t="s">
        <v>863</v>
      </c>
      <c r="E10" s="106">
        <v>0</v>
      </c>
      <c r="F10" s="106">
        <v>0</v>
      </c>
      <c r="G10" s="106">
        <v>0</v>
      </c>
      <c r="H10" s="106">
        <v>0</v>
      </c>
      <c r="I10" s="106">
        <v>0</v>
      </c>
      <c r="J10" s="106">
        <v>0</v>
      </c>
      <c r="K10" s="106">
        <v>234</v>
      </c>
      <c r="L10" s="106">
        <v>231</v>
      </c>
      <c r="M10" s="106">
        <v>0</v>
      </c>
      <c r="N10" s="106">
        <v>0</v>
      </c>
      <c r="O10" s="106">
        <v>235</v>
      </c>
      <c r="P10" s="106">
        <v>235</v>
      </c>
      <c r="Q10" s="106">
        <v>319</v>
      </c>
      <c r="R10" s="106">
        <v>321</v>
      </c>
      <c r="S10" s="106">
        <v>236</v>
      </c>
      <c r="T10" s="106"/>
      <c r="U10" s="106" t="s">
        <v>868</v>
      </c>
      <c r="V10" s="106" t="s">
        <v>868</v>
      </c>
      <c r="W10" s="106" t="s">
        <v>868</v>
      </c>
      <c r="X10" s="106" t="s">
        <v>868</v>
      </c>
      <c r="Y10" s="106" t="s">
        <v>868</v>
      </c>
      <c r="Z10" s="106" t="s">
        <v>868</v>
      </c>
      <c r="AA10" s="106" t="s">
        <v>868</v>
      </c>
      <c r="AB10" s="106" t="s">
        <v>868</v>
      </c>
      <c r="AC10" s="142"/>
    </row>
    <row r="11" spans="1:29" x14ac:dyDescent="0.2">
      <c r="A11" s="104" t="s">
        <v>355</v>
      </c>
      <c r="B11" s="104">
        <v>207</v>
      </c>
      <c r="C11" s="104" t="s">
        <v>357</v>
      </c>
      <c r="D11" s="105" t="s">
        <v>869</v>
      </c>
      <c r="E11" s="106">
        <v>2284</v>
      </c>
      <c r="F11" s="106">
        <v>2284</v>
      </c>
      <c r="G11" s="106">
        <v>2284</v>
      </c>
      <c r="H11" s="106">
        <v>2317</v>
      </c>
      <c r="I11" s="106">
        <v>2327</v>
      </c>
      <c r="J11" s="106">
        <v>2333</v>
      </c>
      <c r="K11" s="106">
        <v>0</v>
      </c>
      <c r="L11" s="106">
        <v>2329</v>
      </c>
      <c r="M11" s="106">
        <v>2405</v>
      </c>
      <c r="N11" s="106">
        <v>2376</v>
      </c>
      <c r="O11" s="106">
        <v>2433</v>
      </c>
      <c r="P11" s="106">
        <v>2508</v>
      </c>
      <c r="Q11" s="106">
        <v>2560</v>
      </c>
      <c r="R11" s="106">
        <v>2581</v>
      </c>
      <c r="S11" s="106">
        <v>2562</v>
      </c>
      <c r="T11" s="106">
        <v>2570</v>
      </c>
      <c r="U11" s="106">
        <v>2309</v>
      </c>
      <c r="V11" s="106">
        <v>2313</v>
      </c>
      <c r="W11" s="106">
        <v>2308</v>
      </c>
      <c r="X11" s="106">
        <v>2325</v>
      </c>
      <c r="Y11" s="106">
        <v>2298</v>
      </c>
      <c r="Z11" s="150">
        <v>2338</v>
      </c>
      <c r="AA11" s="150">
        <v>2342</v>
      </c>
      <c r="AB11" s="150">
        <v>2352</v>
      </c>
      <c r="AC11" s="142"/>
    </row>
    <row r="12" spans="1:29" x14ac:dyDescent="0.2">
      <c r="A12" s="104" t="s">
        <v>355</v>
      </c>
      <c r="B12" s="104">
        <v>419</v>
      </c>
      <c r="C12" s="104" t="s">
        <v>359</v>
      </c>
      <c r="D12" s="105" t="s">
        <v>869</v>
      </c>
      <c r="E12" s="106">
        <v>3126</v>
      </c>
      <c r="F12" s="106">
        <v>3227.9999999999995</v>
      </c>
      <c r="G12" s="106">
        <v>3330</v>
      </c>
      <c r="H12" s="106">
        <v>3396.6</v>
      </c>
      <c r="I12" s="106">
        <v>3464.5320000000002</v>
      </c>
      <c r="J12" s="106">
        <v>3533.8226399999999</v>
      </c>
      <c r="K12" s="106">
        <v>0</v>
      </c>
      <c r="L12" s="106">
        <v>0</v>
      </c>
      <c r="M12" s="106">
        <v>0</v>
      </c>
      <c r="N12" s="106">
        <v>0</v>
      </c>
      <c r="O12" s="106">
        <v>0</v>
      </c>
      <c r="P12" s="106">
        <v>4179</v>
      </c>
      <c r="Q12" s="106">
        <v>4161</v>
      </c>
      <c r="R12" s="106">
        <v>4200</v>
      </c>
      <c r="S12" s="106">
        <v>4201</v>
      </c>
      <c r="T12" s="106">
        <v>4201</v>
      </c>
      <c r="U12" s="106">
        <v>4337</v>
      </c>
      <c r="V12" s="106">
        <v>4393</v>
      </c>
      <c r="W12" s="106">
        <v>4410</v>
      </c>
      <c r="X12" s="106">
        <v>4772</v>
      </c>
      <c r="Y12" s="106">
        <v>4175</v>
      </c>
      <c r="Z12" s="150">
        <v>4175</v>
      </c>
      <c r="AA12" s="150">
        <v>4347</v>
      </c>
      <c r="AB12" s="150">
        <v>4356</v>
      </c>
      <c r="AC12" s="142"/>
    </row>
    <row r="13" spans="1:29" x14ac:dyDescent="0.2">
      <c r="A13" s="104" t="s">
        <v>355</v>
      </c>
      <c r="B13" s="104">
        <v>1118</v>
      </c>
      <c r="C13" s="104" t="s">
        <v>870</v>
      </c>
      <c r="D13" s="105" t="s">
        <v>869</v>
      </c>
      <c r="E13" s="106">
        <v>1793</v>
      </c>
      <c r="F13" s="106">
        <v>1801</v>
      </c>
      <c r="G13" s="106">
        <v>1835</v>
      </c>
      <c r="H13" s="106">
        <v>1975</v>
      </c>
      <c r="I13" s="106">
        <v>1979</v>
      </c>
      <c r="J13" s="106">
        <v>2118</v>
      </c>
      <c r="K13" s="106">
        <v>2168</v>
      </c>
      <c r="L13" s="106">
        <v>2614</v>
      </c>
      <c r="M13" s="106">
        <v>2229</v>
      </c>
      <c r="N13" s="106">
        <v>2128</v>
      </c>
      <c r="O13" s="106">
        <v>2116</v>
      </c>
      <c r="P13" s="106">
        <v>2223</v>
      </c>
      <c r="Q13" s="106">
        <v>2218</v>
      </c>
      <c r="R13" s="106">
        <v>2213</v>
      </c>
      <c r="S13" s="106">
        <v>2338</v>
      </c>
      <c r="T13" s="106">
        <v>2419</v>
      </c>
      <c r="U13" s="106">
        <v>2427</v>
      </c>
      <c r="V13" s="106">
        <v>2434</v>
      </c>
      <c r="W13" s="106">
        <v>2434</v>
      </c>
      <c r="X13" s="106">
        <v>2434</v>
      </c>
      <c r="Y13" s="106">
        <v>2485</v>
      </c>
      <c r="Z13" s="150">
        <v>2487</v>
      </c>
      <c r="AA13" s="150">
        <v>2574</v>
      </c>
      <c r="AB13" s="150">
        <v>2619</v>
      </c>
      <c r="AC13" s="142"/>
    </row>
    <row r="14" spans="1:29" x14ac:dyDescent="0.2">
      <c r="A14" s="104" t="s">
        <v>355</v>
      </c>
      <c r="B14" s="104">
        <v>2842</v>
      </c>
      <c r="C14" s="104" t="s">
        <v>871</v>
      </c>
      <c r="D14" s="105" t="s">
        <v>869</v>
      </c>
      <c r="E14" s="106">
        <v>0</v>
      </c>
      <c r="F14" s="106">
        <v>3669</v>
      </c>
      <c r="G14" s="106">
        <v>3859</v>
      </c>
      <c r="H14" s="106">
        <v>0</v>
      </c>
      <c r="I14" s="106">
        <v>0</v>
      </c>
      <c r="J14" s="106">
        <v>0</v>
      </c>
      <c r="K14" s="106">
        <v>6529</v>
      </c>
      <c r="L14" s="106">
        <v>0</v>
      </c>
      <c r="M14" s="106">
        <v>7218</v>
      </c>
      <c r="N14" s="106">
        <v>6837</v>
      </c>
      <c r="O14" s="106">
        <v>6837</v>
      </c>
      <c r="P14" s="106">
        <v>7259</v>
      </c>
      <c r="Q14" s="106">
        <v>7280</v>
      </c>
      <c r="R14" s="106">
        <v>7321</v>
      </c>
      <c r="S14" s="106">
        <v>7315</v>
      </c>
      <c r="T14" s="106">
        <v>7405</v>
      </c>
      <c r="U14" s="106">
        <v>7388</v>
      </c>
      <c r="V14" s="106">
        <v>7494</v>
      </c>
      <c r="W14" s="106">
        <v>7735</v>
      </c>
      <c r="X14" s="106">
        <v>7905</v>
      </c>
      <c r="Y14" s="106">
        <v>8346</v>
      </c>
      <c r="Z14" s="150">
        <v>8912</v>
      </c>
      <c r="AA14" s="150">
        <v>9657</v>
      </c>
      <c r="AB14" s="150">
        <v>10255</v>
      </c>
      <c r="AC14" s="142"/>
    </row>
    <row r="15" spans="1:29" x14ac:dyDescent="0.2">
      <c r="A15" s="104" t="s">
        <v>355</v>
      </c>
      <c r="B15" s="104">
        <v>4153</v>
      </c>
      <c r="C15" s="104" t="s">
        <v>872</v>
      </c>
      <c r="D15" s="105" t="s">
        <v>869</v>
      </c>
      <c r="E15" s="106">
        <v>5443</v>
      </c>
      <c r="F15" s="106">
        <v>5446</v>
      </c>
      <c r="G15" s="106">
        <v>5153</v>
      </c>
      <c r="H15" s="106">
        <v>4867</v>
      </c>
      <c r="I15" s="106">
        <v>5360</v>
      </c>
      <c r="J15" s="106">
        <v>5677</v>
      </c>
      <c r="K15" s="106">
        <v>0</v>
      </c>
      <c r="L15" s="106">
        <v>5729</v>
      </c>
      <c r="M15" s="106">
        <v>5611</v>
      </c>
      <c r="N15" s="106">
        <v>5766</v>
      </c>
      <c r="O15" s="106">
        <v>5771</v>
      </c>
      <c r="P15" s="106">
        <v>5630</v>
      </c>
      <c r="Q15" s="106">
        <v>5610</v>
      </c>
      <c r="R15" s="106">
        <v>5610</v>
      </c>
      <c r="S15" s="106">
        <v>5717</v>
      </c>
      <c r="T15" s="106">
        <v>5717</v>
      </c>
      <c r="U15" s="106">
        <v>5615</v>
      </c>
      <c r="V15" s="106">
        <v>5642</v>
      </c>
      <c r="W15" s="106">
        <v>5642</v>
      </c>
      <c r="X15" s="106">
        <v>5718</v>
      </c>
      <c r="Y15" s="106">
        <v>5737</v>
      </c>
      <c r="Z15" s="150">
        <v>5888</v>
      </c>
      <c r="AA15" s="150">
        <v>5951</v>
      </c>
      <c r="AB15" s="150">
        <v>6023</v>
      </c>
      <c r="AC15" s="142"/>
    </row>
    <row r="16" spans="1:29" x14ac:dyDescent="0.2">
      <c r="A16" s="104" t="s">
        <v>355</v>
      </c>
      <c r="B16" s="104">
        <v>4406</v>
      </c>
      <c r="C16" s="104" t="s">
        <v>372</v>
      </c>
      <c r="D16" s="105" t="s">
        <v>869</v>
      </c>
      <c r="E16" s="106">
        <v>1757</v>
      </c>
      <c r="F16" s="106">
        <v>1777</v>
      </c>
      <c r="G16" s="106">
        <v>1806</v>
      </c>
      <c r="H16" s="106">
        <v>1838</v>
      </c>
      <c r="I16" s="106">
        <v>0</v>
      </c>
      <c r="J16" s="106">
        <v>1910</v>
      </c>
      <c r="K16" s="106">
        <v>1931</v>
      </c>
      <c r="L16" s="106">
        <v>1949</v>
      </c>
      <c r="M16" s="106">
        <v>1964</v>
      </c>
      <c r="N16" s="106">
        <v>1964</v>
      </c>
      <c r="O16" s="106">
        <v>2215</v>
      </c>
      <c r="P16" s="106">
        <v>2333</v>
      </c>
      <c r="Q16" s="106">
        <v>2423</v>
      </c>
      <c r="R16" s="106">
        <v>2469</v>
      </c>
      <c r="S16" s="106">
        <v>2476</v>
      </c>
      <c r="T16" s="106">
        <v>2445</v>
      </c>
      <c r="U16" s="106">
        <v>2490</v>
      </c>
      <c r="V16" s="106">
        <v>2488</v>
      </c>
      <c r="W16" s="106">
        <v>2490</v>
      </c>
      <c r="X16" s="106">
        <v>2495</v>
      </c>
      <c r="Y16" s="106">
        <v>2513</v>
      </c>
      <c r="Z16" s="150">
        <v>2537</v>
      </c>
      <c r="AA16" s="150">
        <v>2574</v>
      </c>
      <c r="AB16" s="150">
        <v>2685</v>
      </c>
      <c r="AC16" s="142"/>
    </row>
    <row r="17" spans="1:29" x14ac:dyDescent="0.2">
      <c r="A17" s="104" t="s">
        <v>355</v>
      </c>
      <c r="B17" s="104">
        <v>6691</v>
      </c>
      <c r="C17" s="104" t="s">
        <v>873</v>
      </c>
      <c r="D17" s="105" t="s">
        <v>869</v>
      </c>
      <c r="E17" s="106">
        <v>0</v>
      </c>
      <c r="F17" s="106">
        <v>0</v>
      </c>
      <c r="G17" s="106">
        <v>0</v>
      </c>
      <c r="H17" s="106">
        <v>0</v>
      </c>
      <c r="I17" s="106">
        <v>0</v>
      </c>
      <c r="J17" s="106">
        <v>0</v>
      </c>
      <c r="K17" s="106">
        <v>0</v>
      </c>
      <c r="L17" s="106">
        <v>0</v>
      </c>
      <c r="M17" s="106">
        <v>0</v>
      </c>
      <c r="N17" s="106">
        <v>0</v>
      </c>
      <c r="O17" s="106">
        <v>0</v>
      </c>
      <c r="P17" s="106">
        <v>253</v>
      </c>
      <c r="Q17" s="106">
        <v>261</v>
      </c>
      <c r="R17" s="106">
        <v>251</v>
      </c>
      <c r="S17" s="106">
        <v>255</v>
      </c>
      <c r="T17" s="105">
        <v>265</v>
      </c>
      <c r="U17" s="105">
        <v>270</v>
      </c>
      <c r="V17" s="105">
        <v>276</v>
      </c>
      <c r="W17" s="105">
        <v>277</v>
      </c>
      <c r="X17" s="105">
        <v>278</v>
      </c>
      <c r="Y17" s="105">
        <v>281</v>
      </c>
      <c r="Z17" s="150">
        <v>283</v>
      </c>
      <c r="AA17" s="150">
        <v>284</v>
      </c>
      <c r="AB17" s="150">
        <v>286</v>
      </c>
      <c r="AC17" s="142"/>
    </row>
    <row r="18" spans="1:29" x14ac:dyDescent="0.2">
      <c r="A18" s="104" t="s">
        <v>355</v>
      </c>
      <c r="B18" s="104">
        <v>7121</v>
      </c>
      <c r="C18" s="104" t="s">
        <v>874</v>
      </c>
      <c r="D18" s="105" t="s">
        <v>869</v>
      </c>
      <c r="E18" s="106">
        <v>6660</v>
      </c>
      <c r="F18" s="106">
        <v>8491</v>
      </c>
      <c r="G18" s="106">
        <v>8562</v>
      </c>
      <c r="H18" s="106">
        <v>5444</v>
      </c>
      <c r="I18" s="106">
        <v>0</v>
      </c>
      <c r="J18" s="106">
        <v>8938</v>
      </c>
      <c r="K18" s="106">
        <v>0</v>
      </c>
      <c r="L18" s="106">
        <v>11420</v>
      </c>
      <c r="M18" s="106">
        <v>10171</v>
      </c>
      <c r="N18" s="106">
        <v>10794</v>
      </c>
      <c r="O18" s="106">
        <v>11132</v>
      </c>
      <c r="P18" s="106">
        <v>11801</v>
      </c>
      <c r="Q18" s="106">
        <v>11544</v>
      </c>
      <c r="R18" s="106">
        <v>11846</v>
      </c>
      <c r="S18" s="106">
        <v>11540</v>
      </c>
      <c r="T18" s="106">
        <v>11610</v>
      </c>
      <c r="U18" s="106">
        <v>11727</v>
      </c>
      <c r="V18" s="106">
        <v>11349</v>
      </c>
      <c r="W18" s="106">
        <v>11134</v>
      </c>
      <c r="X18" s="106">
        <v>11350</v>
      </c>
      <c r="Y18" s="106">
        <v>11816</v>
      </c>
      <c r="Z18" s="150">
        <v>12876</v>
      </c>
      <c r="AA18" s="150">
        <v>12926</v>
      </c>
      <c r="AB18" s="150">
        <v>13372</v>
      </c>
      <c r="AC18" s="142"/>
    </row>
    <row r="19" spans="1:29" x14ac:dyDescent="0.2">
      <c r="A19" s="104" t="s">
        <v>355</v>
      </c>
      <c r="B19" s="104">
        <v>9097</v>
      </c>
      <c r="C19" s="104" t="s">
        <v>770</v>
      </c>
      <c r="D19" s="105" t="s">
        <v>869</v>
      </c>
      <c r="E19" s="106" t="s">
        <v>868</v>
      </c>
      <c r="F19" s="106" t="s">
        <v>868</v>
      </c>
      <c r="G19" s="106" t="s">
        <v>868</v>
      </c>
      <c r="H19" s="106" t="s">
        <v>868</v>
      </c>
      <c r="I19" s="106" t="s">
        <v>868</v>
      </c>
      <c r="J19" s="106" t="s">
        <v>868</v>
      </c>
      <c r="K19" s="106" t="s">
        <v>868</v>
      </c>
      <c r="L19" s="106" t="s">
        <v>868</v>
      </c>
      <c r="M19" s="106" t="s">
        <v>868</v>
      </c>
      <c r="N19" s="106" t="s">
        <v>868</v>
      </c>
      <c r="O19" s="106" t="s">
        <v>868</v>
      </c>
      <c r="P19" s="106" t="s">
        <v>868</v>
      </c>
      <c r="Q19" s="106" t="s">
        <v>868</v>
      </c>
      <c r="R19" s="106" t="s">
        <v>868</v>
      </c>
      <c r="S19" s="106" t="s">
        <v>868</v>
      </c>
      <c r="T19" s="106" t="s">
        <v>868</v>
      </c>
      <c r="U19" s="106" t="s">
        <v>868</v>
      </c>
      <c r="V19" s="106" t="s">
        <v>868</v>
      </c>
      <c r="W19" s="106" t="s">
        <v>868</v>
      </c>
      <c r="X19" s="106" t="s">
        <v>868</v>
      </c>
      <c r="Y19" s="106">
        <v>72</v>
      </c>
      <c r="Z19" s="150">
        <v>73</v>
      </c>
      <c r="AA19" s="150">
        <v>85</v>
      </c>
      <c r="AB19" s="150">
        <v>87</v>
      </c>
      <c r="AC19" s="142"/>
    </row>
    <row r="20" spans="1:29" x14ac:dyDescent="0.2">
      <c r="A20" s="104" t="s">
        <v>355</v>
      </c>
      <c r="B20" s="104">
        <v>9791</v>
      </c>
      <c r="C20" s="104" t="s">
        <v>871</v>
      </c>
      <c r="D20" s="105" t="s">
        <v>869</v>
      </c>
      <c r="E20" s="106">
        <v>0</v>
      </c>
      <c r="F20" s="106">
        <v>3127</v>
      </c>
      <c r="G20" s="106">
        <v>3299</v>
      </c>
      <c r="H20" s="106">
        <v>0</v>
      </c>
      <c r="I20" s="106">
        <v>0</v>
      </c>
      <c r="J20" s="106">
        <v>0</v>
      </c>
      <c r="K20" s="106">
        <v>4523</v>
      </c>
      <c r="L20" s="106">
        <v>0</v>
      </c>
      <c r="M20" s="106">
        <v>4917</v>
      </c>
      <c r="N20" s="106">
        <v>4992</v>
      </c>
      <c r="O20" s="106">
        <v>5393</v>
      </c>
      <c r="P20" s="106">
        <v>5404</v>
      </c>
      <c r="Q20" s="106">
        <v>5468</v>
      </c>
      <c r="R20" s="106">
        <v>5397</v>
      </c>
      <c r="S20" s="106">
        <v>5349</v>
      </c>
      <c r="T20" s="106">
        <v>5519</v>
      </c>
      <c r="U20" s="106">
        <v>5510</v>
      </c>
      <c r="V20" s="106">
        <v>5510</v>
      </c>
      <c r="W20" s="106">
        <v>5894</v>
      </c>
      <c r="X20" s="106">
        <v>6103</v>
      </c>
      <c r="Y20" s="106">
        <v>6381</v>
      </c>
      <c r="Z20" s="150">
        <v>7073</v>
      </c>
      <c r="AA20" s="150">
        <v>6479</v>
      </c>
      <c r="AB20" s="150">
        <v>6569</v>
      </c>
      <c r="AC20" s="142"/>
    </row>
    <row r="21" spans="1:29" x14ac:dyDescent="0.2">
      <c r="A21" s="104" t="s">
        <v>355</v>
      </c>
      <c r="B21" s="104">
        <v>11839</v>
      </c>
      <c r="C21" s="104" t="s">
        <v>875</v>
      </c>
      <c r="D21" s="105" t="s">
        <v>869</v>
      </c>
      <c r="E21" s="106">
        <v>0</v>
      </c>
      <c r="F21" s="106">
        <v>0</v>
      </c>
      <c r="G21" s="106">
        <v>0</v>
      </c>
      <c r="H21" s="106">
        <v>0</v>
      </c>
      <c r="I21" s="106">
        <v>0</v>
      </c>
      <c r="J21" s="106">
        <v>0</v>
      </c>
      <c r="K21" s="106">
        <v>0</v>
      </c>
      <c r="L21" s="106">
        <v>430</v>
      </c>
      <c r="M21" s="106">
        <v>436</v>
      </c>
      <c r="N21" s="106">
        <v>460</v>
      </c>
      <c r="O21" s="106">
        <v>0</v>
      </c>
      <c r="P21" s="106">
        <v>483</v>
      </c>
      <c r="Q21" s="106">
        <v>484</v>
      </c>
      <c r="R21" s="106">
        <v>484</v>
      </c>
      <c r="S21" s="106">
        <v>498</v>
      </c>
      <c r="T21" s="105">
        <v>508</v>
      </c>
      <c r="U21" s="105">
        <v>522</v>
      </c>
      <c r="V21" s="105">
        <v>522</v>
      </c>
      <c r="W21" s="105">
        <v>522</v>
      </c>
      <c r="X21" s="105">
        <v>522</v>
      </c>
      <c r="Y21" s="105">
        <v>522</v>
      </c>
      <c r="Z21" s="150">
        <v>522</v>
      </c>
      <c r="AA21" s="150">
        <v>522</v>
      </c>
      <c r="AB21" s="150">
        <v>662</v>
      </c>
      <c r="AC21" s="142"/>
    </row>
    <row r="22" spans="1:29" x14ac:dyDescent="0.2">
      <c r="A22" s="104" t="s">
        <v>355</v>
      </c>
      <c r="B22" s="104">
        <v>20230</v>
      </c>
      <c r="C22" s="104" t="s">
        <v>390</v>
      </c>
      <c r="D22" s="105" t="s">
        <v>869</v>
      </c>
      <c r="E22" s="106">
        <v>0</v>
      </c>
      <c r="F22" s="106">
        <v>0</v>
      </c>
      <c r="G22" s="106">
        <v>0</v>
      </c>
      <c r="H22" s="106">
        <v>0</v>
      </c>
      <c r="I22" s="106">
        <v>0</v>
      </c>
      <c r="J22" s="106">
        <v>0</v>
      </c>
      <c r="K22" s="106">
        <v>0</v>
      </c>
      <c r="L22" s="106">
        <v>0</v>
      </c>
      <c r="M22" s="106">
        <v>0</v>
      </c>
      <c r="N22" s="106">
        <v>0</v>
      </c>
      <c r="O22" s="106">
        <v>0</v>
      </c>
      <c r="P22" s="106">
        <v>1865</v>
      </c>
      <c r="Q22" s="106">
        <v>1865</v>
      </c>
      <c r="R22" s="106">
        <v>1929</v>
      </c>
      <c r="S22" s="106">
        <v>1987</v>
      </c>
      <c r="T22" s="106">
        <v>2046</v>
      </c>
      <c r="U22" s="106">
        <v>2130</v>
      </c>
      <c r="V22" s="106">
        <v>2016</v>
      </c>
      <c r="W22" s="106">
        <v>2027</v>
      </c>
      <c r="X22" s="106">
        <v>2034</v>
      </c>
      <c r="Y22" s="106">
        <v>2040</v>
      </c>
      <c r="Z22" s="150">
        <v>2053</v>
      </c>
      <c r="AA22" s="150">
        <v>2076</v>
      </c>
      <c r="AB22" s="150">
        <v>2075</v>
      </c>
      <c r="AC22" s="142"/>
    </row>
    <row r="23" spans="1:29" x14ac:dyDescent="0.2">
      <c r="A23" s="104" t="s">
        <v>391</v>
      </c>
      <c r="B23" s="104">
        <v>4725</v>
      </c>
      <c r="C23" s="104" t="s">
        <v>876</v>
      </c>
      <c r="D23" s="105" t="s">
        <v>863</v>
      </c>
      <c r="E23" s="106">
        <v>3223</v>
      </c>
      <c r="F23" s="106">
        <v>0</v>
      </c>
      <c r="G23" s="106">
        <v>0</v>
      </c>
      <c r="H23" s="106">
        <v>0</v>
      </c>
      <c r="I23" s="106">
        <v>0</v>
      </c>
      <c r="J23" s="106">
        <v>0</v>
      </c>
      <c r="K23" s="106">
        <v>0</v>
      </c>
      <c r="L23" s="106">
        <v>0</v>
      </c>
      <c r="M23" s="106">
        <v>0</v>
      </c>
      <c r="N23" s="106">
        <v>4211</v>
      </c>
      <c r="O23" s="106">
        <v>3529</v>
      </c>
      <c r="P23" s="106">
        <v>3009</v>
      </c>
      <c r="Q23" s="106">
        <v>3693</v>
      </c>
      <c r="R23" s="106">
        <v>3828</v>
      </c>
      <c r="S23" s="106">
        <v>3736</v>
      </c>
      <c r="T23" s="106">
        <v>3676</v>
      </c>
      <c r="U23" s="106">
        <v>3610</v>
      </c>
      <c r="V23" s="106">
        <v>3620</v>
      </c>
      <c r="W23" s="106">
        <v>3799</v>
      </c>
      <c r="X23" s="106">
        <v>3855</v>
      </c>
      <c r="Y23" s="106">
        <v>4227</v>
      </c>
      <c r="Z23" s="150">
        <v>4319</v>
      </c>
      <c r="AA23" s="150">
        <v>4588</v>
      </c>
      <c r="AB23" s="150">
        <v>4666</v>
      </c>
      <c r="AC23" s="142"/>
    </row>
    <row r="24" spans="1:29" x14ac:dyDescent="0.2">
      <c r="A24" s="104" t="s">
        <v>391</v>
      </c>
      <c r="B24" s="104">
        <v>10420</v>
      </c>
      <c r="C24" s="104" t="s">
        <v>877</v>
      </c>
      <c r="D24" s="105" t="s">
        <v>863</v>
      </c>
      <c r="E24" s="106" t="s">
        <v>868</v>
      </c>
      <c r="F24" s="106" t="s">
        <v>868</v>
      </c>
      <c r="G24" s="106" t="s">
        <v>868</v>
      </c>
      <c r="H24" s="106" t="s">
        <v>868</v>
      </c>
      <c r="I24" s="106" t="s">
        <v>868</v>
      </c>
      <c r="J24" s="106" t="s">
        <v>868</v>
      </c>
      <c r="K24" s="106" t="s">
        <v>868</v>
      </c>
      <c r="L24" s="106" t="s">
        <v>868</v>
      </c>
      <c r="M24" s="106" t="s">
        <v>868</v>
      </c>
      <c r="N24" s="106" t="s">
        <v>868</v>
      </c>
      <c r="O24" s="106" t="s">
        <v>868</v>
      </c>
      <c r="P24" s="106" t="s">
        <v>868</v>
      </c>
      <c r="Q24" s="106" t="s">
        <v>868</v>
      </c>
      <c r="R24" s="106" t="s">
        <v>868</v>
      </c>
      <c r="S24" s="106" t="s">
        <v>868</v>
      </c>
      <c r="T24" s="106" t="s">
        <v>868</v>
      </c>
      <c r="U24" s="106" t="s">
        <v>868</v>
      </c>
      <c r="V24" s="106" t="s">
        <v>868</v>
      </c>
      <c r="W24" s="106" t="s">
        <v>868</v>
      </c>
      <c r="X24" s="106" t="s">
        <v>868</v>
      </c>
      <c r="Y24" s="106" t="s">
        <v>868</v>
      </c>
      <c r="Z24" s="106" t="s">
        <v>868</v>
      </c>
      <c r="AA24" s="106" t="s">
        <v>868</v>
      </c>
      <c r="AB24" s="106" t="s">
        <v>868</v>
      </c>
      <c r="AC24" s="142"/>
    </row>
    <row r="25" spans="1:29" x14ac:dyDescent="0.2">
      <c r="A25" s="104" t="s">
        <v>391</v>
      </c>
      <c r="B25" s="104">
        <v>20457</v>
      </c>
      <c r="C25" s="104" t="s">
        <v>878</v>
      </c>
      <c r="D25" s="105" t="s">
        <v>863</v>
      </c>
      <c r="E25" s="106"/>
      <c r="F25" s="106"/>
      <c r="G25" s="106"/>
      <c r="H25" s="106"/>
      <c r="I25" s="106"/>
      <c r="J25" s="106"/>
      <c r="K25" s="106"/>
      <c r="L25" s="106"/>
      <c r="M25" s="106"/>
      <c r="N25" s="106"/>
      <c r="O25" s="106"/>
      <c r="P25" s="106"/>
      <c r="Q25" s="106"/>
      <c r="R25" s="106"/>
      <c r="S25" s="106">
        <v>3558</v>
      </c>
      <c r="T25" s="106">
        <v>1259</v>
      </c>
      <c r="U25" s="106">
        <v>2469</v>
      </c>
      <c r="V25" s="106">
        <v>2505</v>
      </c>
      <c r="W25" s="106">
        <v>2540</v>
      </c>
      <c r="X25" s="106">
        <v>2567</v>
      </c>
      <c r="Y25" s="106">
        <v>2833</v>
      </c>
      <c r="Z25" s="150">
        <v>2946</v>
      </c>
      <c r="AA25" s="150">
        <v>2968</v>
      </c>
      <c r="AB25" s="150">
        <v>3296</v>
      </c>
      <c r="AC25" s="142"/>
    </row>
    <row r="26" spans="1:29" x14ac:dyDescent="0.2">
      <c r="A26" s="104" t="s">
        <v>396</v>
      </c>
      <c r="B26" s="104">
        <v>30</v>
      </c>
      <c r="C26" s="104" t="s">
        <v>879</v>
      </c>
      <c r="D26" s="105" t="s">
        <v>880</v>
      </c>
      <c r="E26" s="106">
        <v>1460</v>
      </c>
      <c r="F26" s="106">
        <v>1460</v>
      </c>
      <c r="G26" s="106">
        <v>1460</v>
      </c>
      <c r="H26" s="106">
        <v>1267</v>
      </c>
      <c r="I26" s="106">
        <v>1267</v>
      </c>
      <c r="J26" s="106">
        <v>1267</v>
      </c>
      <c r="K26" s="106">
        <v>0</v>
      </c>
      <c r="L26" s="106">
        <v>1377</v>
      </c>
      <c r="M26" s="106">
        <v>1379</v>
      </c>
      <c r="N26" s="106">
        <v>1382</v>
      </c>
      <c r="O26" s="106">
        <v>1382</v>
      </c>
      <c r="P26" s="106">
        <v>1360</v>
      </c>
      <c r="Q26" s="106">
        <v>745</v>
      </c>
      <c r="R26" s="106">
        <v>759</v>
      </c>
      <c r="S26" s="106">
        <v>1367</v>
      </c>
      <c r="T26" s="106">
        <v>1367</v>
      </c>
      <c r="U26" s="106">
        <v>1387</v>
      </c>
      <c r="V26" s="106">
        <v>1375</v>
      </c>
      <c r="W26" s="106">
        <v>1397</v>
      </c>
      <c r="X26" s="106">
        <v>1308</v>
      </c>
      <c r="Y26" s="106">
        <v>1399</v>
      </c>
      <c r="Z26" s="150">
        <v>1399</v>
      </c>
      <c r="AA26" s="150">
        <v>1399</v>
      </c>
      <c r="AB26" s="150">
        <v>1399</v>
      </c>
      <c r="AC26" s="142"/>
    </row>
    <row r="27" spans="1:29" x14ac:dyDescent="0.2">
      <c r="A27" s="104" t="s">
        <v>396</v>
      </c>
      <c r="B27" s="104">
        <v>4461</v>
      </c>
      <c r="C27" s="104" t="s">
        <v>400</v>
      </c>
      <c r="D27" s="105" t="s">
        <v>880</v>
      </c>
      <c r="E27" s="106">
        <v>1884</v>
      </c>
      <c r="F27" s="106">
        <v>1898</v>
      </c>
      <c r="G27" s="106">
        <v>1900</v>
      </c>
      <c r="H27" s="106">
        <v>1892</v>
      </c>
      <c r="I27" s="106">
        <v>0</v>
      </c>
      <c r="J27" s="106">
        <v>2025</v>
      </c>
      <c r="K27" s="106">
        <v>2078</v>
      </c>
      <c r="L27" s="106">
        <v>2021</v>
      </c>
      <c r="M27" s="106">
        <v>2007</v>
      </c>
      <c r="N27" s="106">
        <v>2028</v>
      </c>
      <c r="O27" s="106">
        <v>2018</v>
      </c>
      <c r="P27" s="106">
        <v>2016</v>
      </c>
      <c r="Q27" s="106">
        <v>2091</v>
      </c>
      <c r="R27" s="106">
        <v>2093</v>
      </c>
      <c r="S27" s="106">
        <v>2047</v>
      </c>
      <c r="T27" s="106">
        <v>2060</v>
      </c>
      <c r="U27" s="106">
        <v>2065</v>
      </c>
      <c r="V27" s="106">
        <v>2042</v>
      </c>
      <c r="W27" s="106">
        <v>2064</v>
      </c>
      <c r="X27" s="106">
        <v>2058</v>
      </c>
      <c r="Y27" s="106">
        <v>2087</v>
      </c>
      <c r="Z27" s="150">
        <v>2188</v>
      </c>
      <c r="AA27" s="150">
        <v>2211</v>
      </c>
      <c r="AB27" s="150">
        <v>2227</v>
      </c>
      <c r="AC27" s="142"/>
    </row>
    <row r="28" spans="1:29" x14ac:dyDescent="0.2">
      <c r="A28" s="104" t="s">
        <v>396</v>
      </c>
      <c r="B28" s="104">
        <v>7658</v>
      </c>
      <c r="C28" s="104" t="s">
        <v>404</v>
      </c>
      <c r="D28" s="105" t="s">
        <v>880</v>
      </c>
      <c r="E28" s="106">
        <v>554</v>
      </c>
      <c r="F28" s="106">
        <v>0</v>
      </c>
      <c r="G28" s="106">
        <v>0</v>
      </c>
      <c r="H28" s="106">
        <v>0</v>
      </c>
      <c r="I28" s="106">
        <v>0</v>
      </c>
      <c r="J28" s="106">
        <v>0</v>
      </c>
      <c r="K28" s="106">
        <v>0</v>
      </c>
      <c r="L28" s="106">
        <v>495</v>
      </c>
      <c r="M28" s="106">
        <v>505</v>
      </c>
      <c r="N28" s="106">
        <v>515</v>
      </c>
      <c r="O28" s="106">
        <v>805</v>
      </c>
      <c r="P28" s="106">
        <v>805</v>
      </c>
      <c r="Q28" s="106">
        <v>810</v>
      </c>
      <c r="R28" s="106">
        <v>935</v>
      </c>
      <c r="S28" s="106">
        <v>935</v>
      </c>
      <c r="T28" s="105">
        <v>937</v>
      </c>
      <c r="U28" s="105">
        <v>819</v>
      </c>
      <c r="V28" s="105">
        <v>820</v>
      </c>
      <c r="W28" s="105">
        <v>820</v>
      </c>
      <c r="X28" s="105">
        <v>820</v>
      </c>
      <c r="Y28" s="105">
        <v>822</v>
      </c>
      <c r="Z28" s="150">
        <v>823</v>
      </c>
      <c r="AA28" s="150">
        <v>823</v>
      </c>
      <c r="AB28" s="150">
        <v>827</v>
      </c>
      <c r="AC28" s="142"/>
    </row>
    <row r="29" spans="1:29" x14ac:dyDescent="0.2">
      <c r="A29" s="104" t="s">
        <v>396</v>
      </c>
      <c r="B29" s="104">
        <v>13026</v>
      </c>
      <c r="C29" s="104" t="s">
        <v>881</v>
      </c>
      <c r="D29" s="105" t="s">
        <v>880</v>
      </c>
      <c r="E29" s="106">
        <v>0</v>
      </c>
      <c r="F29" s="106">
        <v>0</v>
      </c>
      <c r="G29" s="106">
        <v>0</v>
      </c>
      <c r="H29" s="106">
        <v>0</v>
      </c>
      <c r="I29" s="106">
        <v>0</v>
      </c>
      <c r="J29" s="106">
        <v>0</v>
      </c>
      <c r="K29" s="106">
        <v>0</v>
      </c>
      <c r="L29" s="106">
        <v>0</v>
      </c>
      <c r="M29" s="106">
        <v>0</v>
      </c>
      <c r="N29" s="106">
        <v>0</v>
      </c>
      <c r="O29" s="106">
        <v>0</v>
      </c>
      <c r="P29" s="106">
        <v>262</v>
      </c>
      <c r="Q29" s="106">
        <v>781</v>
      </c>
      <c r="R29" s="106">
        <v>787</v>
      </c>
      <c r="S29" s="106">
        <v>799</v>
      </c>
      <c r="T29" s="106">
        <v>807</v>
      </c>
      <c r="U29" s="106">
        <v>855</v>
      </c>
      <c r="V29" s="106">
        <v>895</v>
      </c>
      <c r="W29" s="106">
        <v>895</v>
      </c>
      <c r="X29" s="106">
        <v>898</v>
      </c>
      <c r="Y29" s="106">
        <v>906</v>
      </c>
      <c r="Z29" s="150">
        <v>950</v>
      </c>
      <c r="AA29" s="150">
        <v>975</v>
      </c>
      <c r="AB29" s="150">
        <v>1135</v>
      </c>
      <c r="AC29" s="142"/>
    </row>
    <row r="30" spans="1:29" x14ac:dyDescent="0.2">
      <c r="A30" s="104" t="s">
        <v>407</v>
      </c>
      <c r="B30" s="104">
        <v>2179</v>
      </c>
      <c r="C30" s="125" t="s">
        <v>882</v>
      </c>
      <c r="D30" s="105" t="s">
        <v>869</v>
      </c>
      <c r="E30" s="106">
        <v>0</v>
      </c>
      <c r="F30" s="106">
        <v>0</v>
      </c>
      <c r="G30" s="106">
        <v>0</v>
      </c>
      <c r="H30" s="106">
        <v>0</v>
      </c>
      <c r="I30" s="106">
        <v>0</v>
      </c>
      <c r="J30" s="106">
        <v>0</v>
      </c>
      <c r="K30" s="106">
        <v>3415</v>
      </c>
      <c r="L30" s="106">
        <v>311</v>
      </c>
      <c r="M30" s="106">
        <v>312</v>
      </c>
      <c r="N30" s="106">
        <v>314</v>
      </c>
      <c r="O30" s="106">
        <v>315</v>
      </c>
      <c r="P30" s="106">
        <v>313</v>
      </c>
      <c r="Q30" s="106">
        <v>314</v>
      </c>
      <c r="R30" s="106">
        <v>313</v>
      </c>
      <c r="S30" s="106">
        <v>313</v>
      </c>
      <c r="T30" s="106"/>
      <c r="U30" s="106" t="s">
        <v>868</v>
      </c>
      <c r="V30" s="106" t="s">
        <v>868</v>
      </c>
      <c r="W30" s="106" t="s">
        <v>868</v>
      </c>
      <c r="X30" s="106" t="s">
        <v>868</v>
      </c>
      <c r="Y30" s="106" t="s">
        <v>868</v>
      </c>
      <c r="Z30" s="150" t="s">
        <v>868</v>
      </c>
      <c r="AA30" s="106" t="s">
        <v>868</v>
      </c>
      <c r="AB30" s="106" t="s">
        <v>868</v>
      </c>
      <c r="AC30" s="142"/>
    </row>
    <row r="31" spans="1:29" x14ac:dyDescent="0.2">
      <c r="A31" s="104" t="s">
        <v>407</v>
      </c>
      <c r="B31" s="104">
        <v>2983</v>
      </c>
      <c r="C31" s="104" t="s">
        <v>882</v>
      </c>
      <c r="D31" s="105" t="s">
        <v>869</v>
      </c>
      <c r="E31" s="106">
        <v>0</v>
      </c>
      <c r="F31" s="106">
        <v>0</v>
      </c>
      <c r="G31" s="106">
        <v>0</v>
      </c>
      <c r="H31" s="106">
        <v>0</v>
      </c>
      <c r="I31" s="106">
        <v>0</v>
      </c>
      <c r="J31" s="106">
        <v>52293</v>
      </c>
      <c r="K31" s="106">
        <v>54926</v>
      </c>
      <c r="L31" s="106">
        <v>56218</v>
      </c>
      <c r="M31" s="106">
        <v>54876</v>
      </c>
      <c r="N31" s="106">
        <v>54619</v>
      </c>
      <c r="O31" s="106">
        <v>55781</v>
      </c>
      <c r="P31" s="106">
        <v>55564</v>
      </c>
      <c r="Q31" s="106">
        <v>55754</v>
      </c>
      <c r="R31" s="106">
        <v>56043</v>
      </c>
      <c r="S31" s="106">
        <v>56044</v>
      </c>
      <c r="T31" s="106"/>
      <c r="U31" s="106" t="s">
        <v>868</v>
      </c>
      <c r="V31" s="106" t="s">
        <v>868</v>
      </c>
      <c r="W31" s="106" t="s">
        <v>868</v>
      </c>
      <c r="X31" s="106" t="s">
        <v>868</v>
      </c>
      <c r="Y31" s="106" t="s">
        <v>868</v>
      </c>
      <c r="Z31" s="150" t="s">
        <v>868</v>
      </c>
      <c r="AA31" s="150" t="s">
        <v>868</v>
      </c>
      <c r="AB31" s="150" t="s">
        <v>868</v>
      </c>
      <c r="AC31" s="142"/>
    </row>
    <row r="32" spans="1:29" x14ac:dyDescent="0.2">
      <c r="A32" s="104" t="s">
        <v>407</v>
      </c>
      <c r="B32" s="104">
        <v>5789</v>
      </c>
      <c r="C32" s="104" t="s">
        <v>882</v>
      </c>
      <c r="D32" s="105" t="s">
        <v>869</v>
      </c>
      <c r="E32" s="106">
        <v>0</v>
      </c>
      <c r="F32" s="106">
        <v>0</v>
      </c>
      <c r="G32" s="106">
        <v>0</v>
      </c>
      <c r="H32" s="106">
        <v>0</v>
      </c>
      <c r="I32" s="106">
        <v>0</v>
      </c>
      <c r="J32" s="106">
        <v>0</v>
      </c>
      <c r="K32" s="106">
        <v>0</v>
      </c>
      <c r="L32" s="106">
        <v>2959</v>
      </c>
      <c r="M32" s="106">
        <v>2975</v>
      </c>
      <c r="N32" s="106">
        <v>2988</v>
      </c>
      <c r="O32" s="106">
        <v>2934</v>
      </c>
      <c r="P32" s="106">
        <v>2932</v>
      </c>
      <c r="Q32" s="106">
        <v>2920</v>
      </c>
      <c r="R32" s="106">
        <f>2969+R30+R31+R34</f>
        <v>59348</v>
      </c>
      <c r="S32" s="106">
        <f>3019+S30+S31+S34</f>
        <v>59399</v>
      </c>
      <c r="T32" s="106">
        <v>60398</v>
      </c>
      <c r="U32" s="106">
        <v>60981</v>
      </c>
      <c r="V32" s="106">
        <v>61697</v>
      </c>
      <c r="W32" s="106">
        <v>62431</v>
      </c>
      <c r="X32" s="106">
        <v>63152</v>
      </c>
      <c r="Y32" s="106">
        <v>64197</v>
      </c>
      <c r="Z32" s="150">
        <v>65530</v>
      </c>
      <c r="AA32" s="150">
        <v>66598</v>
      </c>
      <c r="AB32" s="150">
        <v>67355</v>
      </c>
      <c r="AC32" s="142"/>
    </row>
    <row r="33" spans="1:29" x14ac:dyDescent="0.2">
      <c r="A33" s="104" t="s">
        <v>407</v>
      </c>
      <c r="B33" s="104">
        <v>7627</v>
      </c>
      <c r="C33" s="104" t="s">
        <v>413</v>
      </c>
      <c r="D33" s="105" t="s">
        <v>869</v>
      </c>
      <c r="E33" s="106">
        <v>0</v>
      </c>
      <c r="F33" s="106">
        <v>0</v>
      </c>
      <c r="G33" s="106">
        <v>0</v>
      </c>
      <c r="H33" s="106">
        <v>0</v>
      </c>
      <c r="I33" s="106">
        <v>0</v>
      </c>
      <c r="J33" s="106">
        <v>0</v>
      </c>
      <c r="K33" s="106">
        <v>5784</v>
      </c>
      <c r="L33" s="106">
        <v>6910</v>
      </c>
      <c r="M33" s="106">
        <v>0</v>
      </c>
      <c r="N33" s="106">
        <v>6329</v>
      </c>
      <c r="O33" s="106">
        <v>6339</v>
      </c>
      <c r="P33" s="106">
        <v>6356</v>
      </c>
      <c r="Q33" s="106">
        <v>7004</v>
      </c>
      <c r="R33" s="106">
        <v>6900</v>
      </c>
      <c r="S33" s="106">
        <v>6879</v>
      </c>
      <c r="T33" s="106">
        <v>6346</v>
      </c>
      <c r="U33" s="106">
        <v>6212</v>
      </c>
      <c r="V33" s="106">
        <v>6625</v>
      </c>
      <c r="W33" s="106">
        <v>7414</v>
      </c>
      <c r="X33" s="106">
        <v>8397</v>
      </c>
      <c r="Y33" s="106">
        <v>7726</v>
      </c>
      <c r="Z33" s="150">
        <v>7274</v>
      </c>
      <c r="AA33" s="150">
        <v>6686</v>
      </c>
      <c r="AB33" s="150">
        <v>6794</v>
      </c>
      <c r="AC33" s="142"/>
    </row>
    <row r="34" spans="1:29" x14ac:dyDescent="0.2">
      <c r="A34" s="104" t="s">
        <v>407</v>
      </c>
      <c r="B34" s="104">
        <v>12011</v>
      </c>
      <c r="C34" s="104" t="s">
        <v>882</v>
      </c>
      <c r="D34" s="105" t="s">
        <v>869</v>
      </c>
      <c r="E34" s="106">
        <v>0</v>
      </c>
      <c r="F34" s="106">
        <v>0</v>
      </c>
      <c r="G34" s="106">
        <v>0</v>
      </c>
      <c r="H34" s="106">
        <v>0</v>
      </c>
      <c r="I34" s="106">
        <v>0</v>
      </c>
      <c r="J34" s="106">
        <v>0</v>
      </c>
      <c r="K34" s="106">
        <v>0</v>
      </c>
      <c r="L34" s="106">
        <v>0</v>
      </c>
      <c r="M34" s="106">
        <v>0</v>
      </c>
      <c r="N34" s="106">
        <v>0</v>
      </c>
      <c r="O34" s="106">
        <v>0</v>
      </c>
      <c r="P34" s="106">
        <v>23</v>
      </c>
      <c r="Q34" s="106">
        <v>23</v>
      </c>
      <c r="R34" s="106">
        <v>23</v>
      </c>
      <c r="S34" s="106">
        <v>23</v>
      </c>
      <c r="T34" s="106"/>
      <c r="U34" s="106" t="s">
        <v>868</v>
      </c>
      <c r="V34" s="106" t="s">
        <v>868</v>
      </c>
      <c r="W34" s="106" t="s">
        <v>868</v>
      </c>
      <c r="X34" s="106" t="s">
        <v>868</v>
      </c>
      <c r="Y34" s="106" t="s">
        <v>868</v>
      </c>
      <c r="Z34" s="150" t="s">
        <v>868</v>
      </c>
      <c r="AA34" s="106" t="s">
        <v>868</v>
      </c>
      <c r="AB34" s="106" t="s">
        <v>868</v>
      </c>
      <c r="AC34" s="142"/>
    </row>
    <row r="35" spans="1:29" x14ac:dyDescent="0.2">
      <c r="A35" s="104" t="s">
        <v>414</v>
      </c>
      <c r="B35" s="104">
        <v>4167</v>
      </c>
      <c r="C35" s="104" t="s">
        <v>883</v>
      </c>
      <c r="D35" s="105" t="s">
        <v>880</v>
      </c>
      <c r="E35" s="106">
        <v>0</v>
      </c>
      <c r="F35" s="106">
        <v>0</v>
      </c>
      <c r="G35" s="106">
        <v>0</v>
      </c>
      <c r="H35" s="106">
        <v>0</v>
      </c>
      <c r="I35" s="106">
        <v>0</v>
      </c>
      <c r="J35" s="106">
        <v>0</v>
      </c>
      <c r="K35" s="106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669</v>
      </c>
      <c r="Q35" s="106">
        <v>601</v>
      </c>
      <c r="R35" s="106">
        <v>617</v>
      </c>
      <c r="S35" s="106">
        <v>641</v>
      </c>
      <c r="T35" s="106">
        <v>681</v>
      </c>
      <c r="U35" s="106">
        <v>714</v>
      </c>
      <c r="V35" s="106">
        <v>720</v>
      </c>
      <c r="W35" s="106">
        <v>640</v>
      </c>
      <c r="X35" s="106">
        <v>675</v>
      </c>
      <c r="Y35" s="106">
        <v>661</v>
      </c>
      <c r="Z35" s="150">
        <v>672</v>
      </c>
      <c r="AA35" s="150">
        <v>908</v>
      </c>
      <c r="AB35" s="150">
        <v>908</v>
      </c>
      <c r="AC35" s="142"/>
    </row>
    <row r="36" spans="1:29" x14ac:dyDescent="0.2">
      <c r="A36" s="104" t="s">
        <v>414</v>
      </c>
      <c r="B36" s="104">
        <v>4492</v>
      </c>
      <c r="C36" s="104" t="s">
        <v>418</v>
      </c>
      <c r="D36" s="105" t="s">
        <v>880</v>
      </c>
      <c r="E36" s="106">
        <v>12270</v>
      </c>
      <c r="F36" s="106">
        <v>12247</v>
      </c>
      <c r="G36" s="106">
        <v>13390</v>
      </c>
      <c r="H36" s="106">
        <v>13720</v>
      </c>
      <c r="I36" s="106">
        <v>13998</v>
      </c>
      <c r="J36" s="106">
        <v>14342</v>
      </c>
      <c r="K36" s="106">
        <v>17049</v>
      </c>
      <c r="L36" s="106">
        <v>14821</v>
      </c>
      <c r="M36" s="106">
        <v>14804</v>
      </c>
      <c r="N36" s="106">
        <v>14970</v>
      </c>
      <c r="O36" s="106">
        <v>15394</v>
      </c>
      <c r="P36" s="106">
        <v>15319</v>
      </c>
      <c r="Q36" s="106">
        <v>15487</v>
      </c>
      <c r="R36" s="106">
        <v>15436</v>
      </c>
      <c r="S36" s="106">
        <v>15987</v>
      </c>
      <c r="T36" s="106">
        <v>16013</v>
      </c>
      <c r="U36" s="106">
        <v>16718</v>
      </c>
      <c r="V36" s="106">
        <v>17323</v>
      </c>
      <c r="W36" s="106">
        <v>17322</v>
      </c>
      <c r="X36" s="106">
        <v>17109</v>
      </c>
      <c r="Y36" s="106">
        <v>15732</v>
      </c>
      <c r="Z36" s="150">
        <v>16632</v>
      </c>
      <c r="AA36" s="150">
        <v>16905</v>
      </c>
      <c r="AB36" s="150">
        <v>17107</v>
      </c>
      <c r="AC36" s="142"/>
    </row>
    <row r="37" spans="1:29" x14ac:dyDescent="0.2">
      <c r="A37" s="104" t="s">
        <v>414</v>
      </c>
      <c r="B37" s="104">
        <v>4980</v>
      </c>
      <c r="C37" s="104" t="s">
        <v>422</v>
      </c>
      <c r="D37" s="105" t="s">
        <v>880</v>
      </c>
      <c r="E37" s="106">
        <v>1442</v>
      </c>
      <c r="F37" s="106">
        <v>1470</v>
      </c>
      <c r="G37" s="106">
        <v>1513</v>
      </c>
      <c r="H37" s="106">
        <v>1621</v>
      </c>
      <c r="I37" s="106">
        <v>1705</v>
      </c>
      <c r="J37" s="106">
        <v>1815</v>
      </c>
      <c r="K37" s="106">
        <v>1926</v>
      </c>
      <c r="L37" s="106">
        <v>1971</v>
      </c>
      <c r="M37" s="106">
        <v>1982</v>
      </c>
      <c r="N37" s="106">
        <v>1992</v>
      </c>
      <c r="O37" s="106">
        <v>1994</v>
      </c>
      <c r="P37" s="106">
        <v>1995</v>
      </c>
      <c r="Q37" s="106">
        <v>1995</v>
      </c>
      <c r="R37" s="106">
        <v>1995</v>
      </c>
      <c r="S37" s="106">
        <v>1960</v>
      </c>
      <c r="T37" s="106">
        <v>1949</v>
      </c>
      <c r="U37" s="106">
        <v>1958</v>
      </c>
      <c r="V37" s="106">
        <v>1970</v>
      </c>
      <c r="W37" s="106">
        <v>1992</v>
      </c>
      <c r="X37" s="106">
        <v>2012</v>
      </c>
      <c r="Y37" s="106">
        <v>2047</v>
      </c>
      <c r="Z37" s="150">
        <v>2107</v>
      </c>
      <c r="AA37" s="150">
        <v>2173</v>
      </c>
      <c r="AB37" s="150">
        <v>2205</v>
      </c>
      <c r="AC37" s="142"/>
    </row>
    <row r="38" spans="1:29" x14ac:dyDescent="0.2">
      <c r="A38" s="104" t="s">
        <v>414</v>
      </c>
      <c r="B38" s="104">
        <v>5270</v>
      </c>
      <c r="C38" s="104" t="s">
        <v>424</v>
      </c>
      <c r="D38" s="105" t="s">
        <v>880</v>
      </c>
      <c r="E38" s="106">
        <v>1527</v>
      </c>
      <c r="F38" s="106">
        <v>1334</v>
      </c>
      <c r="G38" s="106">
        <v>1342</v>
      </c>
      <c r="H38" s="106">
        <v>1426</v>
      </c>
      <c r="I38" s="106">
        <v>0</v>
      </c>
      <c r="J38" s="106">
        <v>1572</v>
      </c>
      <c r="K38" s="106">
        <v>1574</v>
      </c>
      <c r="L38" s="106">
        <v>1365</v>
      </c>
      <c r="M38" s="106">
        <v>1345</v>
      </c>
      <c r="N38" s="106">
        <v>1387</v>
      </c>
      <c r="O38" s="106">
        <v>1377</v>
      </c>
      <c r="P38" s="106">
        <v>1364</v>
      </c>
      <c r="Q38" s="106">
        <v>1781</v>
      </c>
      <c r="R38" s="106">
        <v>1713</v>
      </c>
      <c r="S38" s="106">
        <v>3080</v>
      </c>
      <c r="T38" s="106">
        <v>3091</v>
      </c>
      <c r="U38" s="106">
        <v>3136</v>
      </c>
      <c r="V38" s="106">
        <v>3160</v>
      </c>
      <c r="W38" s="106">
        <v>3162</v>
      </c>
      <c r="X38" s="106">
        <v>3190</v>
      </c>
      <c r="Y38" s="106">
        <v>3203</v>
      </c>
      <c r="Z38" s="150">
        <v>3116</v>
      </c>
      <c r="AA38" s="150">
        <v>3190</v>
      </c>
      <c r="AB38" s="150">
        <v>3169</v>
      </c>
      <c r="AC38" s="142"/>
    </row>
    <row r="39" spans="1:29" x14ac:dyDescent="0.2">
      <c r="A39" s="104" t="s">
        <v>414</v>
      </c>
      <c r="B39" s="104">
        <v>6029</v>
      </c>
      <c r="C39" s="104" t="s">
        <v>426</v>
      </c>
      <c r="D39" s="105" t="s">
        <v>880</v>
      </c>
      <c r="E39" s="106">
        <v>6052</v>
      </c>
      <c r="F39" s="106">
        <v>6115</v>
      </c>
      <c r="G39" s="106">
        <v>6152</v>
      </c>
      <c r="H39" s="106">
        <v>6203</v>
      </c>
      <c r="I39" s="106">
        <v>6256</v>
      </c>
      <c r="J39" s="106">
        <v>6308</v>
      </c>
      <c r="K39" s="106">
        <v>6530</v>
      </c>
      <c r="L39" s="106">
        <v>6590</v>
      </c>
      <c r="M39" s="106">
        <v>6619</v>
      </c>
      <c r="N39" s="106">
        <v>6777</v>
      </c>
      <c r="O39" s="106">
        <v>6789</v>
      </c>
      <c r="P39" s="106">
        <v>7729</v>
      </c>
      <c r="Q39" s="106">
        <v>8251</v>
      </c>
      <c r="R39" s="106">
        <v>8584</v>
      </c>
      <c r="S39" s="106">
        <v>8687</v>
      </c>
      <c r="T39" s="106">
        <v>8755</v>
      </c>
      <c r="U39" s="106">
        <v>8868</v>
      </c>
      <c r="V39" s="106">
        <v>8941</v>
      </c>
      <c r="W39" s="106">
        <v>9012</v>
      </c>
      <c r="X39" s="106">
        <v>9065</v>
      </c>
      <c r="Y39" s="106">
        <v>9152</v>
      </c>
      <c r="Z39" s="150">
        <v>9222</v>
      </c>
      <c r="AA39" s="150">
        <v>9297</v>
      </c>
      <c r="AB39" s="150">
        <v>9351</v>
      </c>
      <c r="AC39" s="142"/>
    </row>
    <row r="40" spans="1:29" x14ac:dyDescent="0.2">
      <c r="A40" s="104" t="s">
        <v>414</v>
      </c>
      <c r="B40" s="104">
        <v>6326</v>
      </c>
      <c r="C40" s="104" t="s">
        <v>424</v>
      </c>
      <c r="D40" s="105" t="s">
        <v>880</v>
      </c>
      <c r="E40" s="106">
        <v>799</v>
      </c>
      <c r="F40" s="106">
        <v>800</v>
      </c>
      <c r="G40" s="106">
        <v>827</v>
      </c>
      <c r="H40" s="106">
        <v>845</v>
      </c>
      <c r="I40" s="106">
        <v>0</v>
      </c>
      <c r="J40" s="106">
        <v>0</v>
      </c>
      <c r="K40" s="106">
        <v>0</v>
      </c>
      <c r="L40" s="106">
        <v>0</v>
      </c>
      <c r="M40" s="106">
        <v>943</v>
      </c>
      <c r="N40" s="106">
        <v>0</v>
      </c>
      <c r="O40" s="106">
        <v>0</v>
      </c>
      <c r="P40" s="106">
        <v>1170</v>
      </c>
      <c r="Q40" s="106">
        <v>1144</v>
      </c>
      <c r="R40" s="106">
        <v>1062</v>
      </c>
      <c r="S40" s="106"/>
      <c r="T40" s="106"/>
      <c r="U40" s="106" t="s">
        <v>868</v>
      </c>
      <c r="V40" s="106" t="s">
        <v>868</v>
      </c>
      <c r="W40" s="106" t="s">
        <v>868</v>
      </c>
      <c r="X40" s="106" t="s">
        <v>868</v>
      </c>
      <c r="Y40" s="106" t="s">
        <v>868</v>
      </c>
      <c r="Z40" s="150" t="s">
        <v>868</v>
      </c>
      <c r="AA40" s="106" t="s">
        <v>868</v>
      </c>
      <c r="AB40" s="106" t="s">
        <v>868</v>
      </c>
      <c r="AC40" s="142"/>
    </row>
    <row r="41" spans="1:29" x14ac:dyDescent="0.2">
      <c r="A41" s="104" t="s">
        <v>414</v>
      </c>
      <c r="B41" s="104">
        <v>7139</v>
      </c>
      <c r="C41" s="104" t="s">
        <v>429</v>
      </c>
      <c r="D41" s="105" t="s">
        <v>880</v>
      </c>
      <c r="E41" s="106">
        <v>960</v>
      </c>
      <c r="F41" s="106">
        <v>960</v>
      </c>
      <c r="G41" s="106">
        <v>967</v>
      </c>
      <c r="H41" s="106">
        <v>950</v>
      </c>
      <c r="I41" s="106">
        <v>0</v>
      </c>
      <c r="J41" s="106">
        <v>426</v>
      </c>
      <c r="K41" s="106">
        <v>407</v>
      </c>
      <c r="L41" s="106">
        <v>943</v>
      </c>
      <c r="M41" s="106">
        <v>943</v>
      </c>
      <c r="N41" s="106">
        <v>943</v>
      </c>
      <c r="O41" s="106">
        <v>943</v>
      </c>
      <c r="P41" s="106">
        <v>943</v>
      </c>
      <c r="Q41" s="106">
        <v>943</v>
      </c>
      <c r="R41" s="106">
        <v>943</v>
      </c>
      <c r="S41" s="106">
        <v>943</v>
      </c>
      <c r="T41" s="106">
        <v>959</v>
      </c>
      <c r="U41" s="106">
        <v>959</v>
      </c>
      <c r="V41" s="106">
        <v>959</v>
      </c>
      <c r="W41" s="106">
        <v>959</v>
      </c>
      <c r="X41" s="106">
        <v>959</v>
      </c>
      <c r="Y41" s="106">
        <v>940</v>
      </c>
      <c r="Z41" s="150">
        <v>940</v>
      </c>
      <c r="AA41" s="150">
        <v>940</v>
      </c>
      <c r="AB41" s="150">
        <v>940</v>
      </c>
      <c r="AC41" s="142"/>
    </row>
    <row r="42" spans="1:29" x14ac:dyDescent="0.2">
      <c r="A42" s="104" t="s">
        <v>414</v>
      </c>
      <c r="B42" s="104">
        <v>7704</v>
      </c>
      <c r="C42" s="104" t="s">
        <v>884</v>
      </c>
      <c r="D42" s="105" t="s">
        <v>880</v>
      </c>
      <c r="E42" s="106">
        <v>270</v>
      </c>
      <c r="F42" s="106">
        <v>287</v>
      </c>
      <c r="G42" s="106">
        <v>295</v>
      </c>
      <c r="H42" s="106">
        <v>320</v>
      </c>
      <c r="I42" s="106">
        <v>339</v>
      </c>
      <c r="J42" s="106">
        <v>372</v>
      </c>
      <c r="K42" s="106">
        <v>392</v>
      </c>
      <c r="L42" s="106">
        <v>399</v>
      </c>
      <c r="M42" s="106">
        <v>400</v>
      </c>
      <c r="N42" s="106">
        <v>406</v>
      </c>
      <c r="O42" s="106">
        <v>410</v>
      </c>
      <c r="P42" s="106">
        <v>410</v>
      </c>
      <c r="Q42" s="106">
        <v>410</v>
      </c>
      <c r="R42" s="106">
        <v>410</v>
      </c>
      <c r="S42" s="106">
        <v>380</v>
      </c>
      <c r="T42" s="106">
        <v>380</v>
      </c>
      <c r="U42" s="106" t="s">
        <v>868</v>
      </c>
      <c r="V42" s="106" t="s">
        <v>868</v>
      </c>
      <c r="W42" s="106" t="s">
        <v>868</v>
      </c>
      <c r="X42" s="106" t="s">
        <v>868</v>
      </c>
      <c r="Y42" s="106" t="s">
        <v>868</v>
      </c>
      <c r="Z42" s="150" t="s">
        <v>868</v>
      </c>
      <c r="AA42" s="106" t="s">
        <v>868</v>
      </c>
      <c r="AB42" s="106" t="s">
        <v>868</v>
      </c>
      <c r="AC42" s="142"/>
    </row>
    <row r="43" spans="1:29" x14ac:dyDescent="0.2">
      <c r="A43" s="104" t="s">
        <v>414</v>
      </c>
      <c r="B43" s="104">
        <v>9140</v>
      </c>
      <c r="C43" s="104" t="s">
        <v>885</v>
      </c>
      <c r="D43" s="105" t="s">
        <v>880</v>
      </c>
      <c r="E43" s="106">
        <v>0</v>
      </c>
      <c r="F43" s="106">
        <v>0</v>
      </c>
      <c r="G43" s="106">
        <v>0</v>
      </c>
      <c r="H43" s="106">
        <v>0</v>
      </c>
      <c r="I43" s="106">
        <v>0</v>
      </c>
      <c r="J43" s="106">
        <v>0</v>
      </c>
      <c r="K43" s="106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  <c r="Q43" s="106">
        <v>0</v>
      </c>
      <c r="R43" s="106"/>
      <c r="S43" s="106"/>
      <c r="T43" s="106"/>
      <c r="U43" s="106">
        <v>0</v>
      </c>
      <c r="V43" s="106" t="s">
        <v>868</v>
      </c>
      <c r="W43" s="106" t="s">
        <v>868</v>
      </c>
      <c r="X43" s="106" t="s">
        <v>868</v>
      </c>
      <c r="Y43" s="106" t="s">
        <v>868</v>
      </c>
      <c r="Z43" s="150" t="s">
        <v>868</v>
      </c>
      <c r="AA43" s="106" t="s">
        <v>868</v>
      </c>
      <c r="AB43" s="106" t="s">
        <v>868</v>
      </c>
      <c r="AC43" s="142"/>
    </row>
    <row r="44" spans="1:29" x14ac:dyDescent="0.2">
      <c r="A44" s="104" t="s">
        <v>414</v>
      </c>
      <c r="B44" s="104">
        <v>9490</v>
      </c>
      <c r="C44" s="104" t="s">
        <v>886</v>
      </c>
      <c r="D44" s="105" t="s">
        <v>880</v>
      </c>
      <c r="E44" s="106">
        <v>0</v>
      </c>
      <c r="F44" s="106">
        <v>0</v>
      </c>
      <c r="G44" s="106">
        <v>0</v>
      </c>
      <c r="H44" s="106">
        <v>0</v>
      </c>
      <c r="I44" s="106">
        <v>0</v>
      </c>
      <c r="J44" s="106">
        <v>0</v>
      </c>
      <c r="K44" s="106">
        <v>529</v>
      </c>
      <c r="L44" s="106">
        <v>302</v>
      </c>
      <c r="M44" s="106">
        <v>304</v>
      </c>
      <c r="N44" s="106">
        <v>293</v>
      </c>
      <c r="O44" s="106">
        <v>293</v>
      </c>
      <c r="P44" s="106">
        <v>424</v>
      </c>
      <c r="Q44" s="106">
        <v>301</v>
      </c>
      <c r="R44" s="106">
        <v>409</v>
      </c>
      <c r="S44" s="106">
        <v>427</v>
      </c>
      <c r="T44" s="106">
        <v>427</v>
      </c>
      <c r="U44" s="106">
        <v>426</v>
      </c>
      <c r="V44" s="106" t="s">
        <v>868</v>
      </c>
      <c r="W44" s="106" t="s">
        <v>868</v>
      </c>
      <c r="X44" s="106" t="s">
        <v>868</v>
      </c>
      <c r="Y44" s="106" t="s">
        <v>868</v>
      </c>
      <c r="Z44" s="150" t="s">
        <v>868</v>
      </c>
      <c r="AA44" s="106" t="s">
        <v>868</v>
      </c>
      <c r="AB44" s="106" t="s">
        <v>868</v>
      </c>
      <c r="AC44" s="142"/>
    </row>
    <row r="45" spans="1:29" x14ac:dyDescent="0.2">
      <c r="A45" s="104" t="s">
        <v>414</v>
      </c>
      <c r="B45" s="104">
        <v>11609</v>
      </c>
      <c r="C45" s="104" t="s">
        <v>424</v>
      </c>
      <c r="D45" s="105" t="s">
        <v>880</v>
      </c>
      <c r="E45" s="106">
        <v>0</v>
      </c>
      <c r="F45" s="106">
        <v>0</v>
      </c>
      <c r="G45" s="106">
        <v>0</v>
      </c>
      <c r="H45" s="106">
        <v>0</v>
      </c>
      <c r="I45" s="106">
        <v>0</v>
      </c>
      <c r="J45" s="106">
        <v>0</v>
      </c>
      <c r="K45" s="106">
        <v>0</v>
      </c>
      <c r="L45" s="106">
        <v>0</v>
      </c>
      <c r="M45" s="106">
        <v>0</v>
      </c>
      <c r="N45" s="106">
        <v>0</v>
      </c>
      <c r="O45" s="106">
        <v>0</v>
      </c>
      <c r="P45" s="106">
        <v>383</v>
      </c>
      <c r="Q45" s="106">
        <v>358</v>
      </c>
      <c r="R45" s="106">
        <v>304</v>
      </c>
      <c r="S45" s="106"/>
      <c r="U45" s="98" t="s">
        <v>868</v>
      </c>
      <c r="V45" s="98" t="s">
        <v>868</v>
      </c>
      <c r="W45" s="98" t="s">
        <v>868</v>
      </c>
      <c r="X45" s="98" t="s">
        <v>868</v>
      </c>
      <c r="Y45" s="106" t="s">
        <v>868</v>
      </c>
      <c r="Z45" s="150" t="s">
        <v>868</v>
      </c>
      <c r="AA45" s="106" t="s">
        <v>868</v>
      </c>
      <c r="AB45" s="106" t="s">
        <v>868</v>
      </c>
      <c r="AC45" s="142"/>
    </row>
    <row r="46" spans="1:29" x14ac:dyDescent="0.2">
      <c r="A46" s="104" t="s">
        <v>414</v>
      </c>
      <c r="B46" s="104">
        <v>13099</v>
      </c>
      <c r="C46" s="104" t="s">
        <v>887</v>
      </c>
      <c r="D46" s="105" t="s">
        <v>880</v>
      </c>
      <c r="E46" s="106">
        <v>2004</v>
      </c>
      <c r="F46" s="106">
        <v>2117</v>
      </c>
      <c r="G46" s="106">
        <v>2180</v>
      </c>
      <c r="H46" s="106">
        <v>3122</v>
      </c>
      <c r="I46" s="106">
        <v>0</v>
      </c>
      <c r="J46" s="106">
        <v>0</v>
      </c>
      <c r="K46" s="106">
        <v>3041</v>
      </c>
      <c r="L46" s="106">
        <v>3354</v>
      </c>
      <c r="M46" s="106">
        <v>3794</v>
      </c>
      <c r="N46" s="106">
        <v>3448</v>
      </c>
      <c r="O46" s="106">
        <v>3448</v>
      </c>
      <c r="P46" s="106">
        <v>3434</v>
      </c>
      <c r="Q46" s="106">
        <v>3448</v>
      </c>
      <c r="R46" s="106">
        <v>3448</v>
      </c>
      <c r="S46" s="106">
        <v>3448</v>
      </c>
      <c r="T46" s="106">
        <v>3463</v>
      </c>
      <c r="U46" s="106">
        <v>3483</v>
      </c>
      <c r="V46" s="106">
        <v>3500</v>
      </c>
      <c r="W46" s="106">
        <v>3525</v>
      </c>
      <c r="X46" s="106">
        <v>3560</v>
      </c>
      <c r="Y46" s="106">
        <v>3654</v>
      </c>
      <c r="Z46" s="150">
        <v>3782</v>
      </c>
      <c r="AA46" s="150">
        <v>3918</v>
      </c>
      <c r="AB46" s="150">
        <v>4000</v>
      </c>
      <c r="AC46" s="142"/>
    </row>
    <row r="47" spans="1:29" x14ac:dyDescent="0.2">
      <c r="A47" s="104" t="s">
        <v>440</v>
      </c>
      <c r="B47" s="104">
        <v>450</v>
      </c>
      <c r="C47" s="104" t="s">
        <v>888</v>
      </c>
      <c r="D47" s="105" t="s">
        <v>889</v>
      </c>
      <c r="E47" s="106">
        <v>11229</v>
      </c>
      <c r="F47" s="106">
        <v>11412</v>
      </c>
      <c r="G47" s="106">
        <v>11562</v>
      </c>
      <c r="H47" s="106">
        <v>11572</v>
      </c>
      <c r="I47" s="106">
        <v>12150</v>
      </c>
      <c r="J47" s="106">
        <v>12496</v>
      </c>
      <c r="K47" s="106">
        <v>12667</v>
      </c>
      <c r="L47" s="106">
        <v>12742</v>
      </c>
      <c r="M47" s="106">
        <v>13020</v>
      </c>
      <c r="N47" s="106">
        <v>12497</v>
      </c>
      <c r="O47" s="106">
        <v>12281</v>
      </c>
      <c r="P47" s="106">
        <v>12421</v>
      </c>
      <c r="Q47" s="106">
        <v>12710</v>
      </c>
      <c r="R47" s="106">
        <v>12549</v>
      </c>
      <c r="S47" s="106">
        <v>12563</v>
      </c>
      <c r="T47" s="106">
        <v>12610</v>
      </c>
      <c r="U47" s="106">
        <v>13853</v>
      </c>
      <c r="V47" s="106">
        <v>12426</v>
      </c>
      <c r="W47" s="106">
        <v>12426</v>
      </c>
      <c r="X47" s="106">
        <v>12678</v>
      </c>
      <c r="Y47" s="106">
        <v>12508</v>
      </c>
      <c r="Z47" s="150">
        <v>12508</v>
      </c>
      <c r="AA47" s="150">
        <v>13370</v>
      </c>
      <c r="AB47" s="150">
        <v>13511</v>
      </c>
      <c r="AC47" s="142"/>
    </row>
    <row r="48" spans="1:29" x14ac:dyDescent="0.2">
      <c r="A48" s="104" t="s">
        <v>440</v>
      </c>
      <c r="B48" s="104">
        <v>1776</v>
      </c>
      <c r="C48" s="104" t="s">
        <v>890</v>
      </c>
      <c r="D48" s="105" t="s">
        <v>889</v>
      </c>
      <c r="E48" s="106">
        <v>12382</v>
      </c>
      <c r="F48" s="106">
        <v>12565</v>
      </c>
      <c r="G48" s="106">
        <v>12770</v>
      </c>
      <c r="H48" s="106">
        <v>12823</v>
      </c>
      <c r="I48" s="106">
        <v>12096</v>
      </c>
      <c r="J48" s="106">
        <v>12476</v>
      </c>
      <c r="K48" s="106">
        <v>12679</v>
      </c>
      <c r="L48" s="106">
        <v>13304</v>
      </c>
      <c r="M48" s="106">
        <v>13023</v>
      </c>
      <c r="N48" s="106">
        <v>13201</v>
      </c>
      <c r="O48" s="106">
        <v>13232</v>
      </c>
      <c r="P48" s="106">
        <v>13293</v>
      </c>
      <c r="Q48" s="106">
        <v>13360</v>
      </c>
      <c r="R48" s="106">
        <v>13673</v>
      </c>
      <c r="S48" s="106">
        <v>13794</v>
      </c>
      <c r="T48" s="106">
        <v>13699</v>
      </c>
      <c r="U48" s="106">
        <v>13925</v>
      </c>
      <c r="V48" s="106">
        <v>14069</v>
      </c>
      <c r="W48" s="106">
        <v>14104</v>
      </c>
      <c r="X48" s="106">
        <v>14155</v>
      </c>
      <c r="Y48" s="106">
        <v>14770</v>
      </c>
      <c r="Z48" s="150">
        <v>14947</v>
      </c>
      <c r="AA48" s="150">
        <v>15406</v>
      </c>
      <c r="AB48" s="150">
        <v>16580</v>
      </c>
      <c r="AC48" s="142"/>
    </row>
    <row r="49" spans="1:29" x14ac:dyDescent="0.2">
      <c r="A49" s="104" t="s">
        <v>440</v>
      </c>
      <c r="B49" s="104">
        <v>2062</v>
      </c>
      <c r="C49" s="104" t="s">
        <v>448</v>
      </c>
      <c r="D49" s="105" t="s">
        <v>889</v>
      </c>
      <c r="E49" s="106">
        <v>233441</v>
      </c>
      <c r="F49" s="106">
        <v>234928</v>
      </c>
      <c r="G49" s="106">
        <v>221365</v>
      </c>
      <c r="H49" s="106">
        <v>221270</v>
      </c>
      <c r="I49" s="106">
        <v>224415</v>
      </c>
      <c r="J49" s="106">
        <v>228385</v>
      </c>
      <c r="K49" s="106">
        <v>238035</v>
      </c>
      <c r="L49" s="106">
        <v>240415</v>
      </c>
      <c r="M49" s="106">
        <v>242783</v>
      </c>
      <c r="N49" s="106">
        <v>239521</v>
      </c>
      <c r="O49" s="106">
        <v>209511</v>
      </c>
      <c r="P49" s="106">
        <v>211704</v>
      </c>
      <c r="Q49" s="106">
        <v>212964</v>
      </c>
      <c r="R49" s="106">
        <v>212557</v>
      </c>
      <c r="S49" s="106">
        <v>214306</v>
      </c>
      <c r="T49" s="106">
        <v>214105</v>
      </c>
      <c r="U49" s="106">
        <v>220012</v>
      </c>
      <c r="V49" s="106">
        <v>222214</v>
      </c>
      <c r="W49" s="106">
        <v>223777</v>
      </c>
      <c r="X49" s="106">
        <v>258177</v>
      </c>
      <c r="Y49" s="106">
        <v>258393</v>
      </c>
      <c r="Z49" s="150">
        <v>260957</v>
      </c>
      <c r="AA49" s="150">
        <v>261728</v>
      </c>
      <c r="AB49" s="150">
        <v>264885</v>
      </c>
      <c r="AC49" s="142"/>
    </row>
    <row r="50" spans="1:29" x14ac:dyDescent="0.2">
      <c r="A50" s="104" t="s">
        <v>440</v>
      </c>
      <c r="B50" s="104">
        <v>2285</v>
      </c>
      <c r="C50" s="104" t="s">
        <v>891</v>
      </c>
      <c r="D50" s="105" t="s">
        <v>889</v>
      </c>
      <c r="E50" s="106">
        <v>380</v>
      </c>
      <c r="F50" s="106">
        <v>380</v>
      </c>
      <c r="G50" s="106">
        <v>375</v>
      </c>
      <c r="H50" s="106">
        <v>380</v>
      </c>
      <c r="I50" s="106">
        <v>380</v>
      </c>
      <c r="J50" s="106">
        <v>380</v>
      </c>
      <c r="K50" s="106">
        <v>442</v>
      </c>
      <c r="L50" s="106">
        <v>442</v>
      </c>
      <c r="M50" s="106">
        <v>430</v>
      </c>
      <c r="N50" s="106">
        <v>400</v>
      </c>
      <c r="O50" s="106">
        <v>397</v>
      </c>
      <c r="P50" s="106">
        <v>400</v>
      </c>
      <c r="Q50" s="106">
        <v>400</v>
      </c>
      <c r="R50" s="106">
        <v>400</v>
      </c>
      <c r="S50" s="106">
        <v>394</v>
      </c>
      <c r="T50" s="106">
        <v>384</v>
      </c>
      <c r="U50" s="106">
        <v>395</v>
      </c>
      <c r="V50" s="106">
        <v>404</v>
      </c>
      <c r="W50" s="106">
        <v>400</v>
      </c>
      <c r="X50" s="106">
        <v>411</v>
      </c>
      <c r="Y50" s="106">
        <v>419</v>
      </c>
      <c r="Z50" s="150">
        <v>431</v>
      </c>
      <c r="AA50" s="150">
        <v>434</v>
      </c>
      <c r="AB50" s="150">
        <v>435</v>
      </c>
      <c r="AC50" s="142"/>
    </row>
    <row r="51" spans="1:29" x14ac:dyDescent="0.2">
      <c r="A51" s="104" t="s">
        <v>440</v>
      </c>
      <c r="B51" s="104">
        <v>2707</v>
      </c>
      <c r="C51" s="104" t="s">
        <v>892</v>
      </c>
      <c r="D51" s="105" t="s">
        <v>889</v>
      </c>
      <c r="E51" s="106">
        <v>869</v>
      </c>
      <c r="F51" s="106">
        <v>885.5</v>
      </c>
      <c r="G51" s="106">
        <v>902</v>
      </c>
      <c r="H51" s="106">
        <v>897</v>
      </c>
      <c r="I51" s="106">
        <v>869</v>
      </c>
      <c r="J51" s="106">
        <v>869</v>
      </c>
      <c r="K51" s="106">
        <v>919</v>
      </c>
      <c r="L51" s="106">
        <v>919</v>
      </c>
      <c r="M51" s="106">
        <v>920</v>
      </c>
      <c r="N51" s="106">
        <v>0</v>
      </c>
      <c r="O51" s="106">
        <v>875</v>
      </c>
      <c r="P51" s="106">
        <v>875</v>
      </c>
      <c r="Q51" s="106">
        <v>875</v>
      </c>
      <c r="R51" s="106">
        <v>875</v>
      </c>
      <c r="S51" s="106">
        <v>875</v>
      </c>
      <c r="T51" s="106"/>
      <c r="U51" s="106" t="s">
        <v>868</v>
      </c>
      <c r="V51" s="106" t="s">
        <v>868</v>
      </c>
      <c r="W51" s="106" t="s">
        <v>868</v>
      </c>
      <c r="X51" s="106" t="s">
        <v>868</v>
      </c>
      <c r="Y51" s="106" t="s">
        <v>868</v>
      </c>
      <c r="Z51" s="150" t="s">
        <v>868</v>
      </c>
      <c r="AA51" s="106" t="s">
        <v>868</v>
      </c>
      <c r="AB51" s="106" t="s">
        <v>868</v>
      </c>
      <c r="AC51" s="142"/>
    </row>
    <row r="52" spans="1:29" x14ac:dyDescent="0.2">
      <c r="A52" s="104" t="s">
        <v>440</v>
      </c>
      <c r="B52" s="104">
        <v>4757</v>
      </c>
      <c r="C52" s="104" t="s">
        <v>893</v>
      </c>
      <c r="D52" s="105" t="s">
        <v>889</v>
      </c>
      <c r="E52" s="106">
        <v>0</v>
      </c>
      <c r="F52" s="106">
        <v>0</v>
      </c>
      <c r="G52" s="106">
        <v>0</v>
      </c>
      <c r="H52" s="106">
        <v>0</v>
      </c>
      <c r="I52" s="106">
        <v>0</v>
      </c>
      <c r="J52" s="106">
        <v>0</v>
      </c>
      <c r="K52" s="106">
        <v>0</v>
      </c>
      <c r="L52" s="106">
        <v>0</v>
      </c>
      <c r="M52" s="106">
        <v>0</v>
      </c>
      <c r="N52" s="106">
        <v>0</v>
      </c>
      <c r="O52" s="106">
        <v>0</v>
      </c>
      <c r="P52" s="106">
        <v>939</v>
      </c>
      <c r="Q52" s="106">
        <v>0</v>
      </c>
      <c r="R52" s="106"/>
      <c r="S52" s="106"/>
      <c r="T52" s="106"/>
      <c r="U52" s="106" t="s">
        <v>868</v>
      </c>
      <c r="V52" s="106" t="s">
        <v>868</v>
      </c>
      <c r="W52" s="106" t="s">
        <v>868</v>
      </c>
      <c r="X52" s="106" t="s">
        <v>868</v>
      </c>
      <c r="Y52" s="106" t="s">
        <v>868</v>
      </c>
      <c r="Z52" s="150" t="s">
        <v>868</v>
      </c>
      <c r="AA52" s="106" t="s">
        <v>868</v>
      </c>
      <c r="AB52" s="106" t="s">
        <v>868</v>
      </c>
      <c r="AC52" s="142"/>
    </row>
    <row r="53" spans="1:29" x14ac:dyDescent="0.2">
      <c r="A53" s="104" t="s">
        <v>440</v>
      </c>
      <c r="B53" s="104">
        <v>6312</v>
      </c>
      <c r="C53" s="104" t="s">
        <v>894</v>
      </c>
      <c r="D53" s="105" t="s">
        <v>889</v>
      </c>
      <c r="E53" s="106">
        <v>0</v>
      </c>
      <c r="F53" s="106">
        <v>0</v>
      </c>
      <c r="G53" s="106">
        <v>0</v>
      </c>
      <c r="H53" s="106">
        <v>0</v>
      </c>
      <c r="I53" s="106">
        <v>0</v>
      </c>
      <c r="J53" s="106">
        <v>0</v>
      </c>
      <c r="K53" s="106">
        <v>0</v>
      </c>
      <c r="L53" s="106">
        <v>0</v>
      </c>
      <c r="M53" s="106">
        <v>0</v>
      </c>
      <c r="N53" s="106">
        <v>0</v>
      </c>
      <c r="O53" s="106">
        <v>0</v>
      </c>
      <c r="P53" s="106">
        <v>0</v>
      </c>
      <c r="Q53" s="106">
        <v>0</v>
      </c>
      <c r="R53" s="106"/>
      <c r="S53" s="106"/>
      <c r="T53" s="106"/>
      <c r="U53" s="106">
        <v>0</v>
      </c>
      <c r="V53" s="106" t="s">
        <v>868</v>
      </c>
      <c r="W53" s="106" t="s">
        <v>868</v>
      </c>
      <c r="X53" s="106" t="s">
        <v>868</v>
      </c>
      <c r="Y53" s="106" t="s">
        <v>868</v>
      </c>
      <c r="Z53" s="150" t="s">
        <v>868</v>
      </c>
      <c r="AA53" s="106" t="s">
        <v>868</v>
      </c>
      <c r="AB53" s="106" t="s">
        <v>868</v>
      </c>
      <c r="AC53" s="142"/>
    </row>
    <row r="54" spans="1:29" x14ac:dyDescent="0.2">
      <c r="A54" s="104" t="s">
        <v>440</v>
      </c>
      <c r="B54" s="104">
        <v>6879</v>
      </c>
      <c r="C54" s="104" t="s">
        <v>895</v>
      </c>
      <c r="D54" s="105" t="s">
        <v>889</v>
      </c>
      <c r="E54" s="106">
        <v>1143</v>
      </c>
      <c r="F54" s="106">
        <v>1160</v>
      </c>
      <c r="G54" s="106">
        <v>0</v>
      </c>
      <c r="H54" s="106">
        <v>1160</v>
      </c>
      <c r="I54" s="106">
        <v>0</v>
      </c>
      <c r="J54" s="106">
        <v>0</v>
      </c>
      <c r="K54" s="106">
        <v>0</v>
      </c>
      <c r="L54" s="106">
        <v>0</v>
      </c>
      <c r="M54" s="106">
        <v>1267</v>
      </c>
      <c r="N54" s="106">
        <v>1160</v>
      </c>
      <c r="O54" s="106">
        <v>1160</v>
      </c>
      <c r="P54" s="106">
        <v>1160</v>
      </c>
      <c r="Q54" s="106">
        <v>1160</v>
      </c>
      <c r="R54" s="106">
        <v>1160</v>
      </c>
      <c r="S54" s="106">
        <v>1160</v>
      </c>
      <c r="T54" s="106">
        <v>1223</v>
      </c>
      <c r="U54" s="106">
        <v>1162</v>
      </c>
      <c r="V54" s="106">
        <v>1172</v>
      </c>
      <c r="W54" s="106">
        <v>1333</v>
      </c>
      <c r="X54" s="106">
        <v>1391</v>
      </c>
      <c r="Y54" s="106">
        <v>1391</v>
      </c>
      <c r="Z54" s="150">
        <v>1223</v>
      </c>
      <c r="AA54" s="150">
        <v>1379</v>
      </c>
      <c r="AB54" s="150">
        <v>1391</v>
      </c>
      <c r="AC54" s="142"/>
    </row>
    <row r="55" spans="1:29" x14ac:dyDescent="0.2">
      <c r="A55" s="104" t="s">
        <v>440</v>
      </c>
      <c r="B55" s="104">
        <v>7002</v>
      </c>
      <c r="C55" s="104" t="s">
        <v>896</v>
      </c>
      <c r="D55" s="105" t="s">
        <v>889</v>
      </c>
      <c r="E55" s="106">
        <v>0</v>
      </c>
      <c r="F55" s="106">
        <v>0</v>
      </c>
      <c r="G55" s="106">
        <v>522</v>
      </c>
      <c r="H55" s="106">
        <v>522</v>
      </c>
      <c r="I55" s="106">
        <v>522</v>
      </c>
      <c r="J55" s="106">
        <v>525</v>
      </c>
      <c r="K55" s="106">
        <v>522</v>
      </c>
      <c r="L55" s="106">
        <v>0</v>
      </c>
      <c r="M55" s="106">
        <v>522</v>
      </c>
      <c r="N55" s="106">
        <v>0</v>
      </c>
      <c r="O55" s="106">
        <v>0</v>
      </c>
      <c r="P55" s="106">
        <v>513</v>
      </c>
      <c r="Q55" s="106">
        <v>0</v>
      </c>
      <c r="R55" s="106"/>
      <c r="S55" s="106"/>
      <c r="T55" s="106"/>
      <c r="U55" s="106" t="s">
        <v>868</v>
      </c>
      <c r="V55" s="106" t="s">
        <v>868</v>
      </c>
      <c r="W55" s="106" t="s">
        <v>868</v>
      </c>
      <c r="X55" s="106" t="s">
        <v>868</v>
      </c>
      <c r="Y55" s="106" t="s">
        <v>868</v>
      </c>
      <c r="Z55" s="150" t="s">
        <v>868</v>
      </c>
      <c r="AA55" s="106" t="s">
        <v>868</v>
      </c>
      <c r="AB55" s="106" t="s">
        <v>868</v>
      </c>
      <c r="AC55" s="142"/>
    </row>
    <row r="56" spans="1:29" x14ac:dyDescent="0.2">
      <c r="A56" s="104" t="s">
        <v>440</v>
      </c>
      <c r="B56" s="104">
        <v>7637</v>
      </c>
      <c r="C56" s="104" t="s">
        <v>462</v>
      </c>
      <c r="D56" s="105" t="s">
        <v>889</v>
      </c>
      <c r="E56" s="106">
        <v>0</v>
      </c>
      <c r="F56" s="106">
        <v>0</v>
      </c>
      <c r="G56" s="106">
        <v>0</v>
      </c>
      <c r="H56" s="106">
        <v>0</v>
      </c>
      <c r="I56" s="106">
        <v>0</v>
      </c>
      <c r="J56" s="106">
        <v>0</v>
      </c>
      <c r="K56" s="106">
        <v>453</v>
      </c>
      <c r="L56" s="106">
        <v>493</v>
      </c>
      <c r="M56" s="106">
        <v>518</v>
      </c>
      <c r="N56" s="106">
        <v>0</v>
      </c>
      <c r="O56" s="106">
        <v>517</v>
      </c>
      <c r="P56" s="106">
        <v>517</v>
      </c>
      <c r="Q56" s="106">
        <v>517</v>
      </c>
      <c r="R56" s="106">
        <v>550</v>
      </c>
      <c r="S56" s="106">
        <v>525</v>
      </c>
      <c r="T56" s="106">
        <v>550</v>
      </c>
      <c r="U56" s="106">
        <v>563</v>
      </c>
      <c r="V56" s="106">
        <v>593</v>
      </c>
      <c r="W56" s="106">
        <v>629</v>
      </c>
      <c r="X56" s="106">
        <v>629</v>
      </c>
      <c r="Y56" s="106">
        <v>626</v>
      </c>
      <c r="Z56" s="150">
        <v>654</v>
      </c>
      <c r="AA56" s="150">
        <v>689</v>
      </c>
      <c r="AB56" s="150">
        <v>723</v>
      </c>
      <c r="AC56" s="142"/>
    </row>
    <row r="57" spans="1:29" x14ac:dyDescent="0.2">
      <c r="A57" s="104" t="s">
        <v>440</v>
      </c>
      <c r="B57" s="104">
        <v>7790</v>
      </c>
      <c r="C57" s="104" t="s">
        <v>897</v>
      </c>
      <c r="D57" s="105" t="s">
        <v>889</v>
      </c>
      <c r="E57" s="106">
        <v>0</v>
      </c>
      <c r="F57" s="106">
        <v>0</v>
      </c>
      <c r="G57" s="106">
        <v>0</v>
      </c>
      <c r="H57" s="106">
        <v>0</v>
      </c>
      <c r="I57" s="106">
        <v>0</v>
      </c>
      <c r="J57" s="106">
        <v>0</v>
      </c>
      <c r="K57" s="106">
        <v>250</v>
      </c>
      <c r="L57" s="106">
        <v>250</v>
      </c>
      <c r="M57" s="106">
        <v>250</v>
      </c>
      <c r="N57" s="106">
        <v>0</v>
      </c>
      <c r="O57" s="106">
        <v>250</v>
      </c>
      <c r="P57" s="106">
        <v>250</v>
      </c>
      <c r="Q57" s="106">
        <v>308</v>
      </c>
      <c r="R57" s="106">
        <v>306</v>
      </c>
      <c r="S57" s="106">
        <v>328</v>
      </c>
      <c r="T57" s="106">
        <v>185</v>
      </c>
      <c r="U57" s="106">
        <v>355</v>
      </c>
      <c r="V57" s="106">
        <v>365</v>
      </c>
      <c r="W57" s="106">
        <v>377</v>
      </c>
      <c r="X57" s="106">
        <v>388</v>
      </c>
      <c r="Y57" s="106">
        <v>573</v>
      </c>
      <c r="Z57" s="150">
        <v>583</v>
      </c>
      <c r="AA57" s="150">
        <v>597</v>
      </c>
      <c r="AB57" s="150">
        <v>600</v>
      </c>
      <c r="AC57" s="142"/>
    </row>
    <row r="58" spans="1:29" x14ac:dyDescent="0.2">
      <c r="A58" s="104" t="s">
        <v>440</v>
      </c>
      <c r="B58" s="104">
        <v>10443</v>
      </c>
      <c r="C58" s="104" t="s">
        <v>898</v>
      </c>
      <c r="D58" s="105" t="s">
        <v>889</v>
      </c>
      <c r="E58" s="106">
        <v>1015</v>
      </c>
      <c r="F58" s="106">
        <v>1020</v>
      </c>
      <c r="G58" s="106">
        <v>1020</v>
      </c>
      <c r="H58" s="106">
        <v>1015</v>
      </c>
      <c r="I58" s="106">
        <v>1024</v>
      </c>
      <c r="J58" s="106">
        <v>1020</v>
      </c>
      <c r="K58" s="106">
        <v>1020</v>
      </c>
      <c r="L58" s="106">
        <v>1024</v>
      </c>
      <c r="M58" s="106">
        <v>1024</v>
      </c>
      <c r="N58" s="106">
        <v>1024</v>
      </c>
      <c r="O58" s="106">
        <v>1024</v>
      </c>
      <c r="P58" s="106">
        <v>1024</v>
      </c>
      <c r="Q58" s="106">
        <v>1024</v>
      </c>
      <c r="R58" s="106">
        <v>1014</v>
      </c>
      <c r="S58" s="106">
        <v>1014</v>
      </c>
      <c r="T58" s="106">
        <v>1022</v>
      </c>
      <c r="U58" s="106">
        <v>1022</v>
      </c>
      <c r="V58" s="106">
        <v>1022</v>
      </c>
      <c r="W58" s="106">
        <v>1022</v>
      </c>
      <c r="X58" s="106">
        <v>1022</v>
      </c>
      <c r="Y58" s="106">
        <v>1022</v>
      </c>
      <c r="Z58" s="150">
        <v>1021</v>
      </c>
      <c r="AA58" s="150">
        <v>1012</v>
      </c>
      <c r="AB58" s="150">
        <v>1021</v>
      </c>
      <c r="AC58" s="142"/>
    </row>
    <row r="59" spans="1:29" x14ac:dyDescent="0.2">
      <c r="A59" s="104" t="s">
        <v>440</v>
      </c>
      <c r="B59" s="104">
        <v>12994</v>
      </c>
      <c r="C59" s="104" t="s">
        <v>899</v>
      </c>
      <c r="D59" s="105" t="s">
        <v>889</v>
      </c>
      <c r="E59" s="106">
        <v>0</v>
      </c>
      <c r="F59" s="106">
        <v>0</v>
      </c>
      <c r="G59" s="106">
        <v>0</v>
      </c>
      <c r="H59" s="106">
        <v>0</v>
      </c>
      <c r="I59" s="106">
        <v>0</v>
      </c>
      <c r="J59" s="106">
        <v>0</v>
      </c>
      <c r="K59" s="106">
        <v>0</v>
      </c>
      <c r="L59" s="106">
        <v>1363</v>
      </c>
      <c r="M59" s="106">
        <v>1409</v>
      </c>
      <c r="N59" s="106">
        <v>0</v>
      </c>
      <c r="O59" s="106">
        <v>0</v>
      </c>
      <c r="P59" s="106">
        <v>1355</v>
      </c>
      <c r="Q59" s="106">
        <v>1355</v>
      </c>
      <c r="R59" s="106">
        <v>1355</v>
      </c>
      <c r="S59" s="106">
        <v>1355</v>
      </c>
      <c r="U59" s="98" t="s">
        <v>868</v>
      </c>
      <c r="V59" s="98" t="s">
        <v>868</v>
      </c>
      <c r="W59" s="98" t="s">
        <v>868</v>
      </c>
      <c r="X59" s="98" t="s">
        <v>868</v>
      </c>
      <c r="Y59" s="98" t="s">
        <v>868</v>
      </c>
      <c r="Z59" s="150" t="s">
        <v>868</v>
      </c>
      <c r="AA59" s="106" t="s">
        <v>868</v>
      </c>
      <c r="AB59" s="106" t="s">
        <v>868</v>
      </c>
      <c r="AC59" s="142"/>
    </row>
    <row r="60" spans="1:29" x14ac:dyDescent="0.2">
      <c r="A60" s="104" t="s">
        <v>440</v>
      </c>
      <c r="B60" s="104">
        <v>20141</v>
      </c>
      <c r="C60" s="104" t="s">
        <v>900</v>
      </c>
      <c r="D60" s="105" t="s">
        <v>889</v>
      </c>
      <c r="E60" s="106">
        <v>129847</v>
      </c>
      <c r="F60" s="106">
        <v>139174</v>
      </c>
      <c r="G60" s="106">
        <v>147648</v>
      </c>
      <c r="H60" s="106">
        <v>156648</v>
      </c>
      <c r="I60" s="106">
        <v>166794</v>
      </c>
      <c r="J60" s="106">
        <v>176309</v>
      </c>
      <c r="K60" s="106">
        <v>189292</v>
      </c>
      <c r="L60" s="106">
        <v>193702.5</v>
      </c>
      <c r="M60" s="106">
        <v>198113</v>
      </c>
      <c r="N60" s="106">
        <v>198454</v>
      </c>
      <c r="O60" s="106">
        <v>198795</v>
      </c>
      <c r="P60" s="106">
        <v>207845</v>
      </c>
      <c r="Q60" s="106">
        <v>212025</v>
      </c>
      <c r="R60" s="106">
        <v>208319</v>
      </c>
      <c r="S60" s="106">
        <v>207845</v>
      </c>
      <c r="T60" s="106">
        <v>219573</v>
      </c>
      <c r="U60" s="106">
        <v>228631</v>
      </c>
      <c r="V60" s="106">
        <v>235823</v>
      </c>
      <c r="W60" s="106">
        <v>242799</v>
      </c>
      <c r="X60" s="106">
        <v>250345</v>
      </c>
      <c r="Y60" s="106">
        <v>257278</v>
      </c>
      <c r="Z60" s="150">
        <v>263873</v>
      </c>
      <c r="AA60" s="150">
        <v>269679</v>
      </c>
      <c r="AB60" s="150">
        <v>273701</v>
      </c>
      <c r="AC60" s="142"/>
    </row>
    <row r="61" spans="1:29" x14ac:dyDescent="0.2">
      <c r="A61" s="104" t="s">
        <v>473</v>
      </c>
      <c r="B61" s="104">
        <v>5640</v>
      </c>
      <c r="C61" s="104" t="s">
        <v>475</v>
      </c>
      <c r="D61" s="105" t="s">
        <v>869</v>
      </c>
      <c r="E61" s="106">
        <v>1091</v>
      </c>
      <c r="F61" s="106">
        <v>1100</v>
      </c>
      <c r="G61" s="106">
        <v>1092</v>
      </c>
      <c r="H61" s="106">
        <v>1116</v>
      </c>
      <c r="I61" s="106">
        <v>1116</v>
      </c>
      <c r="J61" s="106">
        <v>1123</v>
      </c>
      <c r="K61" s="106">
        <v>1148</v>
      </c>
      <c r="L61" s="106">
        <v>1233</v>
      </c>
      <c r="M61" s="106">
        <v>1239</v>
      </c>
      <c r="N61" s="106">
        <v>1211</v>
      </c>
      <c r="O61" s="106">
        <v>1209</v>
      </c>
      <c r="P61" s="106">
        <v>1209</v>
      </c>
      <c r="Q61" s="106">
        <v>1221</v>
      </c>
      <c r="R61" s="106">
        <v>1211</v>
      </c>
      <c r="S61" s="106">
        <v>1219</v>
      </c>
      <c r="T61" s="106">
        <v>1229</v>
      </c>
      <c r="U61" s="106">
        <v>1234</v>
      </c>
      <c r="V61" s="106">
        <v>1255</v>
      </c>
      <c r="W61" s="106">
        <v>1250</v>
      </c>
      <c r="X61" s="106">
        <v>1254</v>
      </c>
      <c r="Y61" s="106">
        <v>1271</v>
      </c>
      <c r="Z61" s="150">
        <v>1885</v>
      </c>
      <c r="AA61" s="150">
        <v>1899</v>
      </c>
      <c r="AB61" s="150">
        <v>1921</v>
      </c>
      <c r="AC61" s="142"/>
    </row>
    <row r="62" spans="1:29" x14ac:dyDescent="0.2">
      <c r="A62" s="104" t="s">
        <v>473</v>
      </c>
      <c r="B62" s="104">
        <v>7755</v>
      </c>
      <c r="C62" s="104" t="s">
        <v>477</v>
      </c>
      <c r="D62" s="105" t="s">
        <v>869</v>
      </c>
      <c r="E62" s="106">
        <v>0</v>
      </c>
      <c r="F62" s="106">
        <v>432</v>
      </c>
      <c r="G62" s="106">
        <v>0</v>
      </c>
      <c r="H62" s="106">
        <v>0</v>
      </c>
      <c r="I62" s="106">
        <v>0</v>
      </c>
      <c r="J62" s="106">
        <v>0</v>
      </c>
      <c r="K62" s="106">
        <v>0</v>
      </c>
      <c r="L62" s="106">
        <v>0</v>
      </c>
      <c r="M62" s="106">
        <v>0</v>
      </c>
      <c r="N62" s="106">
        <v>381</v>
      </c>
      <c r="O62" s="106">
        <v>389</v>
      </c>
      <c r="P62" s="106">
        <v>423</v>
      </c>
      <c r="Q62" s="106">
        <v>444</v>
      </c>
      <c r="R62" s="106">
        <v>446</v>
      </c>
      <c r="S62" s="106">
        <v>426</v>
      </c>
      <c r="T62" s="106">
        <v>426</v>
      </c>
      <c r="U62" s="106">
        <v>426</v>
      </c>
      <c r="V62" s="106">
        <v>0</v>
      </c>
      <c r="W62" s="106">
        <v>0</v>
      </c>
      <c r="X62" s="106">
        <v>0</v>
      </c>
      <c r="Y62" s="106" t="s">
        <v>868</v>
      </c>
      <c r="Z62" s="150" t="s">
        <v>868</v>
      </c>
      <c r="AA62" s="106" t="s">
        <v>868</v>
      </c>
      <c r="AB62" s="106" t="s">
        <v>868</v>
      </c>
      <c r="AC62" s="142"/>
    </row>
    <row r="63" spans="1:29" x14ac:dyDescent="0.2">
      <c r="A63" s="104" t="s">
        <v>473</v>
      </c>
      <c r="B63" s="104">
        <v>8953</v>
      </c>
      <c r="C63" s="104" t="s">
        <v>481</v>
      </c>
      <c r="D63" s="105" t="s">
        <v>869</v>
      </c>
      <c r="E63" s="106">
        <v>0</v>
      </c>
      <c r="F63" s="106">
        <v>0</v>
      </c>
      <c r="G63" s="106">
        <v>0</v>
      </c>
      <c r="H63" s="106">
        <v>0</v>
      </c>
      <c r="I63" s="106">
        <v>0</v>
      </c>
      <c r="J63" s="106">
        <v>0</v>
      </c>
      <c r="K63" s="106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708</v>
      </c>
      <c r="Q63" s="106">
        <v>708</v>
      </c>
      <c r="R63" s="106">
        <v>792</v>
      </c>
      <c r="S63" s="106">
        <v>766</v>
      </c>
      <c r="T63" s="106">
        <v>769</v>
      </c>
      <c r="U63" s="106">
        <v>769</v>
      </c>
      <c r="V63" s="106">
        <v>776</v>
      </c>
      <c r="W63" s="106">
        <v>774</v>
      </c>
      <c r="X63" s="106">
        <v>779</v>
      </c>
      <c r="Y63" s="106">
        <v>781</v>
      </c>
      <c r="Z63" s="150">
        <v>776</v>
      </c>
      <c r="AA63" s="150">
        <v>776</v>
      </c>
      <c r="AB63" s="150">
        <v>743</v>
      </c>
      <c r="AC63" s="142"/>
    </row>
    <row r="64" spans="1:29" x14ac:dyDescent="0.2">
      <c r="A64" s="104" t="s">
        <v>482</v>
      </c>
      <c r="B64" s="104">
        <v>6392</v>
      </c>
      <c r="C64" s="104" t="s">
        <v>901</v>
      </c>
      <c r="D64" s="105" t="s">
        <v>863</v>
      </c>
      <c r="E64" s="106">
        <v>23515</v>
      </c>
      <c r="F64" s="106">
        <v>23649</v>
      </c>
      <c r="G64" s="106">
        <v>24142</v>
      </c>
      <c r="H64" s="106">
        <v>24266</v>
      </c>
      <c r="I64" s="106">
        <v>24659</v>
      </c>
      <c r="J64" s="106">
        <v>24696</v>
      </c>
      <c r="K64" s="106">
        <v>25441</v>
      </c>
      <c r="L64" s="106">
        <v>25792</v>
      </c>
      <c r="M64" s="106">
        <v>25003</v>
      </c>
      <c r="N64" s="106">
        <v>24746</v>
      </c>
      <c r="O64" s="106">
        <v>25129</v>
      </c>
      <c r="P64" s="106">
        <v>27230</v>
      </c>
      <c r="Q64" s="106">
        <v>28435</v>
      </c>
      <c r="R64" s="106">
        <v>28466</v>
      </c>
      <c r="S64" s="106">
        <v>30083</v>
      </c>
      <c r="T64" s="106">
        <v>30560</v>
      </c>
      <c r="U64" s="106">
        <v>27779</v>
      </c>
      <c r="V64" s="106">
        <v>27779</v>
      </c>
      <c r="W64" s="106">
        <v>30822</v>
      </c>
      <c r="X64" s="106">
        <v>30078</v>
      </c>
      <c r="Y64" s="106">
        <v>32503</v>
      </c>
      <c r="Z64" s="150">
        <v>32503</v>
      </c>
      <c r="AA64" s="150">
        <v>31799</v>
      </c>
      <c r="AB64" s="150">
        <v>31079</v>
      </c>
      <c r="AC64" s="142"/>
    </row>
    <row r="65" spans="1:29" x14ac:dyDescent="0.2">
      <c r="A65" s="104" t="s">
        <v>482</v>
      </c>
      <c r="B65" s="104">
        <v>10963</v>
      </c>
      <c r="C65" s="104" t="s">
        <v>486</v>
      </c>
      <c r="D65" s="105" t="s">
        <v>863</v>
      </c>
      <c r="E65" s="106">
        <v>10275</v>
      </c>
      <c r="F65" s="106">
        <v>10316</v>
      </c>
      <c r="G65" s="106">
        <v>10411</v>
      </c>
      <c r="H65" s="106">
        <v>10357</v>
      </c>
      <c r="I65" s="106">
        <v>10097</v>
      </c>
      <c r="J65" s="106">
        <v>10030</v>
      </c>
      <c r="K65" s="106">
        <v>10047</v>
      </c>
      <c r="L65" s="106">
        <v>10070</v>
      </c>
      <c r="M65" s="106">
        <v>10150</v>
      </c>
      <c r="N65" s="106">
        <v>9703</v>
      </c>
      <c r="O65" s="106">
        <v>9701</v>
      </c>
      <c r="P65" s="106">
        <v>9698</v>
      </c>
      <c r="Q65" s="106">
        <v>9705</v>
      </c>
      <c r="R65" s="106">
        <v>9693</v>
      </c>
      <c r="S65" s="106">
        <v>9307</v>
      </c>
      <c r="T65" s="106">
        <v>9315</v>
      </c>
      <c r="U65" s="106">
        <v>9344</v>
      </c>
      <c r="V65" s="106">
        <v>10051</v>
      </c>
      <c r="W65" s="106">
        <v>10157</v>
      </c>
      <c r="X65" s="106">
        <v>9560</v>
      </c>
      <c r="Y65" s="106">
        <v>9542</v>
      </c>
      <c r="Z65" s="150">
        <v>9454</v>
      </c>
      <c r="AA65" s="150">
        <v>9580</v>
      </c>
      <c r="AB65" s="150">
        <v>9577</v>
      </c>
      <c r="AC65" s="142"/>
    </row>
    <row r="66" spans="1:29" x14ac:dyDescent="0.2">
      <c r="A66" s="104" t="s">
        <v>482</v>
      </c>
      <c r="B66" s="104">
        <v>12443</v>
      </c>
      <c r="C66" s="104" t="s">
        <v>902</v>
      </c>
      <c r="D66" s="105" t="s">
        <v>863</v>
      </c>
      <c r="E66" s="106">
        <v>0</v>
      </c>
      <c r="F66" s="106">
        <v>0</v>
      </c>
      <c r="G66" s="106">
        <v>0</v>
      </c>
      <c r="H66" s="106">
        <v>0</v>
      </c>
      <c r="I66" s="106">
        <v>0</v>
      </c>
      <c r="J66" s="106">
        <v>0</v>
      </c>
      <c r="K66" s="106">
        <v>0</v>
      </c>
      <c r="L66" s="106">
        <v>4028</v>
      </c>
      <c r="M66" s="106">
        <v>6946</v>
      </c>
      <c r="N66" s="106">
        <v>0</v>
      </c>
      <c r="O66" s="106">
        <v>6986</v>
      </c>
      <c r="P66" s="106">
        <v>6961</v>
      </c>
      <c r="Q66" s="106">
        <v>7129</v>
      </c>
      <c r="R66" s="106">
        <v>7060</v>
      </c>
      <c r="S66" s="106">
        <v>7055</v>
      </c>
      <c r="T66" s="106">
        <v>7236</v>
      </c>
      <c r="U66" s="106">
        <v>7315</v>
      </c>
      <c r="V66" s="106">
        <v>7343</v>
      </c>
      <c r="W66" s="106">
        <v>7026</v>
      </c>
      <c r="X66" s="106">
        <v>7554</v>
      </c>
      <c r="Y66" s="106">
        <v>7706</v>
      </c>
      <c r="Z66" s="150">
        <v>7615</v>
      </c>
      <c r="AA66" s="150">
        <v>7652</v>
      </c>
      <c r="AB66" s="150">
        <v>7652</v>
      </c>
      <c r="AC66" s="142"/>
    </row>
    <row r="67" spans="1:29" x14ac:dyDescent="0.2">
      <c r="A67" s="104" t="s">
        <v>482</v>
      </c>
      <c r="B67" s="104">
        <v>13343</v>
      </c>
      <c r="C67" s="104" t="s">
        <v>490</v>
      </c>
      <c r="D67" s="105" t="s">
        <v>863</v>
      </c>
      <c r="E67" s="106">
        <v>105671</v>
      </c>
      <c r="F67" s="106">
        <v>107805</v>
      </c>
      <c r="G67" s="106">
        <v>110616</v>
      </c>
      <c r="H67" s="106">
        <v>113386</v>
      </c>
      <c r="I67" s="106">
        <v>121737</v>
      </c>
      <c r="J67" s="106">
        <v>134624</v>
      </c>
      <c r="K67" s="106">
        <v>139946</v>
      </c>
      <c r="L67" s="106">
        <v>142751</v>
      </c>
      <c r="M67" s="106">
        <v>141603</v>
      </c>
      <c r="N67" s="106">
        <v>145592</v>
      </c>
      <c r="O67" s="106">
        <v>145592</v>
      </c>
      <c r="P67" s="106">
        <v>155800</v>
      </c>
      <c r="Q67" s="106">
        <v>134656</v>
      </c>
      <c r="R67" s="106">
        <v>136661</v>
      </c>
      <c r="S67" s="106">
        <v>139555</v>
      </c>
      <c r="T67" s="106">
        <v>142637</v>
      </c>
      <c r="U67" s="106">
        <v>146077</v>
      </c>
      <c r="V67" s="106">
        <v>149148</v>
      </c>
      <c r="W67" s="106">
        <v>152356</v>
      </c>
      <c r="X67" s="106">
        <v>156892</v>
      </c>
      <c r="Y67" s="106">
        <v>161701</v>
      </c>
      <c r="Z67" s="146">
        <v>166596</v>
      </c>
      <c r="AA67" s="150">
        <v>173486</v>
      </c>
      <c r="AB67" s="146">
        <v>186530</v>
      </c>
      <c r="AC67" s="142"/>
    </row>
    <row r="68" spans="1:29" x14ac:dyDescent="0.2">
      <c r="A68" s="104" t="s">
        <v>491</v>
      </c>
      <c r="B68" s="104">
        <v>1156</v>
      </c>
      <c r="C68" s="104" t="s">
        <v>493</v>
      </c>
      <c r="D68" s="105" t="s">
        <v>869</v>
      </c>
      <c r="E68" s="106">
        <v>2821</v>
      </c>
      <c r="F68" s="106">
        <v>2905</v>
      </c>
      <c r="G68" s="106">
        <v>2939</v>
      </c>
      <c r="H68" s="106">
        <v>3028</v>
      </c>
      <c r="I68" s="106">
        <v>3158</v>
      </c>
      <c r="J68" s="106">
        <v>3381</v>
      </c>
      <c r="K68" s="106">
        <v>4044</v>
      </c>
      <c r="L68" s="106">
        <v>4416</v>
      </c>
      <c r="M68" s="106">
        <v>5042</v>
      </c>
      <c r="N68" s="106">
        <v>5108</v>
      </c>
      <c r="O68" s="106">
        <v>5206</v>
      </c>
      <c r="P68" s="106">
        <v>5326</v>
      </c>
      <c r="Q68" s="106">
        <v>5530</v>
      </c>
      <c r="R68" s="106">
        <v>5584</v>
      </c>
      <c r="S68" s="106">
        <v>5800</v>
      </c>
      <c r="T68" s="106">
        <v>6089</v>
      </c>
      <c r="U68" s="106">
        <v>6435</v>
      </c>
      <c r="V68" s="106">
        <v>6810</v>
      </c>
      <c r="W68" s="106">
        <v>7382</v>
      </c>
      <c r="X68" s="106">
        <v>7919</v>
      </c>
      <c r="Y68" s="106">
        <v>8514</v>
      </c>
      <c r="Z68" s="150">
        <v>9432</v>
      </c>
      <c r="AA68" s="150">
        <v>10563</v>
      </c>
      <c r="AB68" s="150">
        <v>11389</v>
      </c>
      <c r="AC68" s="142"/>
    </row>
    <row r="69" spans="1:29" x14ac:dyDescent="0.2">
      <c r="A69" s="104" t="s">
        <v>491</v>
      </c>
      <c r="B69" s="104">
        <v>2999</v>
      </c>
      <c r="C69" s="104" t="s">
        <v>903</v>
      </c>
      <c r="D69" s="105" t="s">
        <v>869</v>
      </c>
      <c r="E69" s="106">
        <v>0</v>
      </c>
      <c r="F69" s="106">
        <v>0</v>
      </c>
      <c r="G69" s="106">
        <v>0</v>
      </c>
      <c r="H69" s="106">
        <v>0</v>
      </c>
      <c r="I69" s="106">
        <v>0</v>
      </c>
      <c r="J69" s="106">
        <v>0</v>
      </c>
      <c r="K69" s="106">
        <v>0</v>
      </c>
      <c r="L69" s="106">
        <v>0</v>
      </c>
      <c r="M69" s="106">
        <v>0</v>
      </c>
      <c r="N69" s="106">
        <v>0</v>
      </c>
      <c r="O69" s="106">
        <v>0</v>
      </c>
      <c r="P69" s="106">
        <v>478</v>
      </c>
      <c r="Q69" s="106">
        <v>517</v>
      </c>
      <c r="R69" s="106">
        <v>478</v>
      </c>
      <c r="S69" s="106">
        <v>517</v>
      </c>
      <c r="T69" s="106">
        <v>494</v>
      </c>
      <c r="U69" s="106">
        <v>489</v>
      </c>
      <c r="V69" s="106">
        <v>492</v>
      </c>
      <c r="W69" s="106">
        <v>490</v>
      </c>
      <c r="X69" s="106">
        <v>496</v>
      </c>
      <c r="Y69" s="106">
        <v>497</v>
      </c>
      <c r="Z69" s="150">
        <v>500</v>
      </c>
      <c r="AA69" s="143" t="s">
        <v>868</v>
      </c>
      <c r="AB69" s="143" t="s">
        <v>868</v>
      </c>
      <c r="AC69" s="142"/>
    </row>
    <row r="70" spans="1:29" x14ac:dyDescent="0.2">
      <c r="A70" s="104" t="s">
        <v>491</v>
      </c>
      <c r="B70" s="104">
        <v>5643</v>
      </c>
      <c r="C70" s="104" t="s">
        <v>904</v>
      </c>
      <c r="D70" s="105" t="s">
        <v>869</v>
      </c>
      <c r="E70" s="106">
        <v>456</v>
      </c>
      <c r="F70" s="106">
        <v>471</v>
      </c>
      <c r="G70" s="106">
        <v>488</v>
      </c>
      <c r="H70" s="106">
        <v>499</v>
      </c>
      <c r="I70" s="106">
        <v>0</v>
      </c>
      <c r="J70" s="106">
        <v>0</v>
      </c>
      <c r="K70" s="106">
        <v>521</v>
      </c>
      <c r="L70" s="106">
        <v>526</v>
      </c>
      <c r="M70" s="106">
        <v>0</v>
      </c>
      <c r="N70" s="106">
        <v>526</v>
      </c>
      <c r="O70" s="106">
        <v>526</v>
      </c>
      <c r="P70" s="106">
        <v>527</v>
      </c>
      <c r="Q70" s="106">
        <v>531</v>
      </c>
      <c r="R70" s="106">
        <v>532</v>
      </c>
      <c r="S70" s="106">
        <v>532</v>
      </c>
      <c r="T70" s="106">
        <v>533</v>
      </c>
      <c r="U70" s="106">
        <v>497</v>
      </c>
      <c r="V70" s="106">
        <v>497</v>
      </c>
      <c r="W70" s="106">
        <v>497</v>
      </c>
      <c r="X70" s="106">
        <v>497</v>
      </c>
      <c r="Y70" s="106">
        <v>497</v>
      </c>
      <c r="Z70" s="150">
        <v>504</v>
      </c>
      <c r="AA70" s="150">
        <v>504</v>
      </c>
      <c r="AB70" s="150">
        <v>513</v>
      </c>
      <c r="AC70" s="142"/>
    </row>
    <row r="71" spans="1:29" x14ac:dyDescent="0.2">
      <c r="A71" s="104" t="s">
        <v>491</v>
      </c>
      <c r="B71" s="104">
        <v>6151</v>
      </c>
      <c r="C71" s="104" t="s">
        <v>905</v>
      </c>
      <c r="D71" s="105" t="s">
        <v>869</v>
      </c>
      <c r="E71" s="106">
        <v>0</v>
      </c>
      <c r="F71" s="106">
        <v>0</v>
      </c>
      <c r="G71" s="106">
        <v>0</v>
      </c>
      <c r="H71" s="106">
        <v>0</v>
      </c>
      <c r="I71" s="106">
        <v>0</v>
      </c>
      <c r="J71" s="106">
        <v>0</v>
      </c>
      <c r="K71" s="106">
        <v>493</v>
      </c>
      <c r="L71" s="106">
        <v>6579</v>
      </c>
      <c r="M71" s="106">
        <v>13664</v>
      </c>
      <c r="N71" s="106" t="s">
        <v>868</v>
      </c>
      <c r="O71" s="106">
        <v>14372</v>
      </c>
      <c r="P71" s="106">
        <v>14004</v>
      </c>
      <c r="Q71" s="106">
        <v>14113</v>
      </c>
      <c r="R71" s="106">
        <v>14591</v>
      </c>
      <c r="S71" s="106">
        <v>14249</v>
      </c>
      <c r="T71" s="106">
        <v>15401</v>
      </c>
      <c r="U71" s="106">
        <v>15661</v>
      </c>
      <c r="V71" s="106">
        <v>15871</v>
      </c>
      <c r="W71" s="106">
        <v>16246</v>
      </c>
      <c r="X71" s="106">
        <v>17622</v>
      </c>
      <c r="Y71" s="106">
        <v>17926</v>
      </c>
      <c r="Z71" s="150">
        <v>18969</v>
      </c>
      <c r="AA71" s="150">
        <v>24557</v>
      </c>
      <c r="AB71" s="150">
        <v>26842</v>
      </c>
      <c r="AC71" s="142"/>
    </row>
    <row r="72" spans="1:29" x14ac:dyDescent="0.2">
      <c r="A72" s="104" t="s">
        <v>491</v>
      </c>
      <c r="B72" s="104">
        <v>6792</v>
      </c>
      <c r="C72" s="104" t="s">
        <v>906</v>
      </c>
      <c r="D72" s="105" t="s">
        <v>869</v>
      </c>
      <c r="E72" s="106">
        <v>376</v>
      </c>
      <c r="F72" s="106">
        <v>376</v>
      </c>
      <c r="G72" s="106">
        <v>376</v>
      </c>
      <c r="H72" s="106">
        <v>376</v>
      </c>
      <c r="I72" s="106">
        <v>376</v>
      </c>
      <c r="J72" s="106">
        <v>376</v>
      </c>
      <c r="K72" s="106">
        <v>0</v>
      </c>
      <c r="L72" s="106">
        <v>0</v>
      </c>
      <c r="M72" s="106">
        <v>376</v>
      </c>
      <c r="N72" s="106">
        <v>376</v>
      </c>
      <c r="O72" s="106">
        <v>376</v>
      </c>
      <c r="P72" s="106">
        <v>376</v>
      </c>
      <c r="Q72" s="106">
        <v>376</v>
      </c>
      <c r="R72" s="106">
        <v>376</v>
      </c>
      <c r="S72" s="106">
        <v>375</v>
      </c>
      <c r="T72" s="106">
        <v>376</v>
      </c>
      <c r="U72" s="106">
        <v>376</v>
      </c>
      <c r="V72" s="106">
        <v>376</v>
      </c>
      <c r="W72" s="106">
        <v>376</v>
      </c>
      <c r="X72" s="106" t="s">
        <v>868</v>
      </c>
      <c r="Y72" s="106" t="s">
        <v>868</v>
      </c>
      <c r="Z72" s="150" t="s">
        <v>868</v>
      </c>
      <c r="AA72" s="106" t="s">
        <v>868</v>
      </c>
      <c r="AB72" s="106" t="s">
        <v>868</v>
      </c>
      <c r="AC72" s="142"/>
    </row>
    <row r="73" spans="1:29" x14ac:dyDescent="0.2">
      <c r="A73" s="104" t="s">
        <v>491</v>
      </c>
      <c r="B73" s="104">
        <v>7849</v>
      </c>
      <c r="C73" s="104" t="s">
        <v>903</v>
      </c>
      <c r="D73" s="105" t="s">
        <v>869</v>
      </c>
      <c r="E73" s="106">
        <v>0</v>
      </c>
      <c r="F73" s="106">
        <v>0</v>
      </c>
      <c r="G73" s="106">
        <v>0</v>
      </c>
      <c r="H73" s="106">
        <v>0</v>
      </c>
      <c r="I73" s="106">
        <v>0</v>
      </c>
      <c r="J73" s="106">
        <v>0</v>
      </c>
      <c r="K73" s="106">
        <v>0</v>
      </c>
      <c r="L73" s="106">
        <v>0</v>
      </c>
      <c r="M73" s="106">
        <v>0</v>
      </c>
      <c r="N73" s="106">
        <v>0</v>
      </c>
      <c r="O73" s="106">
        <v>0</v>
      </c>
      <c r="P73" s="106">
        <v>572</v>
      </c>
      <c r="Q73" s="106">
        <v>469</v>
      </c>
      <c r="R73" s="106">
        <v>478</v>
      </c>
      <c r="S73" s="106">
        <v>496</v>
      </c>
      <c r="T73" s="106">
        <v>473</v>
      </c>
      <c r="U73" s="106">
        <v>476</v>
      </c>
      <c r="V73" s="106">
        <v>480</v>
      </c>
      <c r="W73" s="106">
        <v>480</v>
      </c>
      <c r="X73" s="106">
        <v>475</v>
      </c>
      <c r="Y73" s="106">
        <v>480</v>
      </c>
      <c r="Z73" s="150">
        <v>507</v>
      </c>
      <c r="AA73" s="143" t="s">
        <v>868</v>
      </c>
      <c r="AB73" s="143" t="s">
        <v>868</v>
      </c>
      <c r="AC73" s="142"/>
    </row>
    <row r="74" spans="1:29" x14ac:dyDescent="0.2">
      <c r="A74" s="104" t="s">
        <v>491</v>
      </c>
      <c r="B74" s="104">
        <v>8005</v>
      </c>
      <c r="C74" s="104" t="s">
        <v>907</v>
      </c>
      <c r="D74" s="105" t="s">
        <v>869</v>
      </c>
      <c r="E74" s="106">
        <v>0</v>
      </c>
      <c r="F74" s="106">
        <v>0</v>
      </c>
      <c r="G74" s="106">
        <v>0</v>
      </c>
      <c r="H74" s="106">
        <v>0</v>
      </c>
      <c r="I74" s="106">
        <v>0</v>
      </c>
      <c r="J74" s="106">
        <v>0</v>
      </c>
      <c r="K74" s="106">
        <v>0</v>
      </c>
      <c r="L74" s="106">
        <v>293</v>
      </c>
      <c r="M74" s="106">
        <v>293</v>
      </c>
      <c r="N74" s="106">
        <v>0</v>
      </c>
      <c r="O74" s="106">
        <v>0</v>
      </c>
      <c r="P74" s="106">
        <v>293</v>
      </c>
      <c r="Q74" s="106">
        <v>293</v>
      </c>
      <c r="R74" s="106">
        <v>293</v>
      </c>
      <c r="S74" s="106">
        <v>281</v>
      </c>
      <c r="T74" s="106">
        <v>293</v>
      </c>
      <c r="U74" s="106">
        <v>285</v>
      </c>
      <c r="V74" s="106">
        <v>286</v>
      </c>
      <c r="W74" s="106">
        <v>286</v>
      </c>
      <c r="X74" s="106" t="s">
        <v>868</v>
      </c>
      <c r="Y74" s="106" t="s">
        <v>868</v>
      </c>
      <c r="Z74" s="150" t="s">
        <v>868</v>
      </c>
      <c r="AA74" s="106" t="s">
        <v>868</v>
      </c>
      <c r="AB74" s="106" t="s">
        <v>868</v>
      </c>
      <c r="AC74" s="142"/>
    </row>
    <row r="75" spans="1:29" x14ac:dyDescent="0.2">
      <c r="A75" s="104" t="s">
        <v>491</v>
      </c>
      <c r="B75" s="104">
        <v>8020</v>
      </c>
      <c r="C75" s="104" t="s">
        <v>908</v>
      </c>
      <c r="D75" s="105" t="s">
        <v>869</v>
      </c>
      <c r="E75" s="106">
        <v>0</v>
      </c>
      <c r="F75" s="106">
        <v>0</v>
      </c>
      <c r="G75" s="106">
        <v>0</v>
      </c>
      <c r="H75" s="106">
        <v>0</v>
      </c>
      <c r="I75" s="106">
        <v>0</v>
      </c>
      <c r="J75" s="106">
        <v>0</v>
      </c>
      <c r="K75" s="106">
        <v>0</v>
      </c>
      <c r="L75" s="106">
        <v>598</v>
      </c>
      <c r="M75" s="106">
        <v>598</v>
      </c>
      <c r="N75" s="106">
        <v>598</v>
      </c>
      <c r="O75" s="106">
        <v>598</v>
      </c>
      <c r="P75" s="106">
        <v>598</v>
      </c>
      <c r="Q75" s="106">
        <v>598</v>
      </c>
      <c r="R75" s="106">
        <v>598</v>
      </c>
      <c r="S75" s="106">
        <v>598</v>
      </c>
      <c r="T75" s="106">
        <v>598</v>
      </c>
      <c r="U75" s="106">
        <v>598</v>
      </c>
      <c r="V75" s="106">
        <v>598</v>
      </c>
      <c r="W75" s="106">
        <v>598</v>
      </c>
      <c r="X75" s="106">
        <v>598</v>
      </c>
      <c r="Y75" s="106">
        <v>598</v>
      </c>
      <c r="Z75" s="150">
        <v>598</v>
      </c>
      <c r="AA75" s="150">
        <v>598</v>
      </c>
      <c r="AB75" s="150">
        <v>598</v>
      </c>
      <c r="AC75" s="142"/>
    </row>
    <row r="76" spans="1:29" x14ac:dyDescent="0.2">
      <c r="A76" s="104" t="s">
        <v>491</v>
      </c>
      <c r="B76" s="104">
        <v>8339</v>
      </c>
      <c r="C76" s="104" t="s">
        <v>512</v>
      </c>
      <c r="D76" s="105" t="s">
        <v>869</v>
      </c>
      <c r="E76" s="106">
        <v>0</v>
      </c>
      <c r="F76" s="106">
        <v>0</v>
      </c>
      <c r="G76" s="106">
        <v>0</v>
      </c>
      <c r="H76" s="106">
        <v>0</v>
      </c>
      <c r="I76" s="106">
        <v>0</v>
      </c>
      <c r="J76" s="106">
        <v>848</v>
      </c>
      <c r="K76" s="106">
        <v>860</v>
      </c>
      <c r="L76" s="106">
        <v>861</v>
      </c>
      <c r="M76" s="106">
        <v>2369</v>
      </c>
      <c r="N76" s="106">
        <v>2358</v>
      </c>
      <c r="O76" s="106">
        <v>2358</v>
      </c>
      <c r="P76" s="106" t="s">
        <v>868</v>
      </c>
      <c r="Q76" s="106">
        <v>2969</v>
      </c>
      <c r="R76" s="106">
        <v>2967</v>
      </c>
      <c r="S76" s="106">
        <v>2984</v>
      </c>
      <c r="T76" s="106">
        <v>2620</v>
      </c>
      <c r="U76" s="106">
        <v>2880</v>
      </c>
      <c r="V76" s="106">
        <v>2887</v>
      </c>
      <c r="W76" s="106">
        <v>2895</v>
      </c>
      <c r="X76" s="106">
        <v>2949</v>
      </c>
      <c r="Y76" s="106">
        <v>2817</v>
      </c>
      <c r="Z76" s="150">
        <v>3152</v>
      </c>
      <c r="AA76" s="150">
        <v>3002</v>
      </c>
      <c r="AB76" s="150">
        <v>2867</v>
      </c>
      <c r="AC76" s="142"/>
    </row>
    <row r="77" spans="1:29" x14ac:dyDescent="0.2">
      <c r="A77" s="104" t="s">
        <v>491</v>
      </c>
      <c r="B77" s="104">
        <v>8481</v>
      </c>
      <c r="C77" s="104" t="s">
        <v>909</v>
      </c>
      <c r="D77" s="105" t="s">
        <v>869</v>
      </c>
      <c r="E77" s="106">
        <v>0</v>
      </c>
      <c r="F77" s="106">
        <v>0</v>
      </c>
      <c r="G77" s="106">
        <v>0</v>
      </c>
      <c r="H77" s="106">
        <v>0</v>
      </c>
      <c r="I77" s="106">
        <v>0</v>
      </c>
      <c r="J77" s="106">
        <v>0</v>
      </c>
      <c r="K77" s="106">
        <v>0</v>
      </c>
      <c r="L77" s="106">
        <v>0</v>
      </c>
      <c r="M77" s="106">
        <v>0</v>
      </c>
      <c r="N77" s="106">
        <v>0</v>
      </c>
      <c r="O77" s="106">
        <v>0</v>
      </c>
      <c r="P77" s="106">
        <v>2129</v>
      </c>
      <c r="Q77" s="106">
        <v>1747</v>
      </c>
      <c r="R77" s="106">
        <v>2585</v>
      </c>
      <c r="S77" s="106">
        <v>2256</v>
      </c>
      <c r="T77" s="106">
        <v>2250</v>
      </c>
      <c r="U77" s="106">
        <v>2301</v>
      </c>
      <c r="V77" s="106">
        <v>2401</v>
      </c>
      <c r="W77" s="106">
        <v>2462</v>
      </c>
      <c r="X77" s="106">
        <v>2578</v>
      </c>
      <c r="Y77" s="106">
        <v>2764</v>
      </c>
      <c r="Z77" s="150">
        <v>2912</v>
      </c>
      <c r="AA77" s="143" t="s">
        <v>868</v>
      </c>
      <c r="AB77" s="143" t="s">
        <v>868</v>
      </c>
      <c r="AC77" s="142"/>
    </row>
    <row r="78" spans="1:29" x14ac:dyDescent="0.2">
      <c r="A78" s="104" t="s">
        <v>491</v>
      </c>
      <c r="B78" s="104">
        <v>9360</v>
      </c>
      <c r="C78" s="104" t="s">
        <v>910</v>
      </c>
      <c r="D78" s="105" t="s">
        <v>869</v>
      </c>
      <c r="E78" s="106">
        <v>0</v>
      </c>
      <c r="F78" s="106">
        <v>0</v>
      </c>
      <c r="G78" s="106">
        <v>0</v>
      </c>
      <c r="H78" s="106">
        <v>0</v>
      </c>
      <c r="I78" s="106">
        <v>0</v>
      </c>
      <c r="J78" s="106">
        <v>0</v>
      </c>
      <c r="K78" s="106">
        <v>0</v>
      </c>
      <c r="L78" s="106">
        <v>0</v>
      </c>
      <c r="M78" s="106">
        <v>0</v>
      </c>
      <c r="N78" s="106">
        <v>0</v>
      </c>
      <c r="O78" s="106">
        <v>0</v>
      </c>
      <c r="P78" s="106">
        <v>898</v>
      </c>
      <c r="Q78" s="106">
        <v>901</v>
      </c>
      <c r="R78" s="106">
        <v>901</v>
      </c>
      <c r="S78" s="106">
        <v>901</v>
      </c>
      <c r="T78" s="106"/>
      <c r="U78" s="106" t="s">
        <v>868</v>
      </c>
      <c r="V78" s="106" t="s">
        <v>868</v>
      </c>
      <c r="W78" s="106" t="s">
        <v>868</v>
      </c>
      <c r="X78" s="106" t="s">
        <v>868</v>
      </c>
      <c r="Y78" s="106" t="s">
        <v>868</v>
      </c>
      <c r="Z78" s="150" t="s">
        <v>868</v>
      </c>
      <c r="AA78" s="106" t="s">
        <v>868</v>
      </c>
      <c r="AB78" s="106" t="s">
        <v>868</v>
      </c>
      <c r="AC78" s="142"/>
    </row>
    <row r="79" spans="1:29" x14ac:dyDescent="0.2">
      <c r="A79" s="104" t="s">
        <v>521</v>
      </c>
      <c r="B79" s="104">
        <v>279</v>
      </c>
      <c r="C79" s="104" t="s">
        <v>523</v>
      </c>
      <c r="D79" s="105" t="s">
        <v>889</v>
      </c>
      <c r="E79" s="106">
        <v>0</v>
      </c>
      <c r="F79" s="106">
        <v>0</v>
      </c>
      <c r="G79" s="106">
        <v>0</v>
      </c>
      <c r="H79" s="106">
        <v>1563</v>
      </c>
      <c r="I79" s="106">
        <v>0</v>
      </c>
      <c r="J79" s="106">
        <v>1502</v>
      </c>
      <c r="K79" s="106">
        <v>0</v>
      </c>
      <c r="L79" s="106">
        <v>1540</v>
      </c>
      <c r="M79" s="106">
        <v>1529</v>
      </c>
      <c r="N79" s="106">
        <v>1529</v>
      </c>
      <c r="O79" s="106">
        <v>1534</v>
      </c>
      <c r="P79" s="106">
        <v>1534</v>
      </c>
      <c r="Q79" s="106">
        <v>1534</v>
      </c>
      <c r="R79" s="106">
        <v>1506</v>
      </c>
      <c r="S79" s="106">
        <v>1445</v>
      </c>
      <c r="T79" s="106">
        <v>1539</v>
      </c>
      <c r="U79" s="106">
        <v>1539</v>
      </c>
      <c r="V79" s="106">
        <v>1539</v>
      </c>
      <c r="W79" s="106">
        <v>1539</v>
      </c>
      <c r="X79" s="106">
        <v>1539</v>
      </c>
      <c r="Y79" s="106">
        <v>1604</v>
      </c>
      <c r="Z79" s="150">
        <v>1778</v>
      </c>
      <c r="AA79" s="150">
        <v>1646</v>
      </c>
      <c r="AB79" s="150">
        <v>1641</v>
      </c>
      <c r="AC79" s="142"/>
    </row>
    <row r="80" spans="1:29" x14ac:dyDescent="0.2">
      <c r="A80" s="104" t="s">
        <v>521</v>
      </c>
      <c r="B80" s="104">
        <v>540</v>
      </c>
      <c r="C80" s="104" t="s">
        <v>525</v>
      </c>
      <c r="D80" s="105" t="s">
        <v>889</v>
      </c>
      <c r="E80" s="106">
        <v>0</v>
      </c>
      <c r="F80" s="106">
        <v>0</v>
      </c>
      <c r="G80" s="106">
        <v>0</v>
      </c>
      <c r="H80" s="106">
        <v>0</v>
      </c>
      <c r="I80" s="106">
        <v>0</v>
      </c>
      <c r="J80" s="106">
        <v>0</v>
      </c>
      <c r="K80" s="106">
        <v>449</v>
      </c>
      <c r="L80" s="106">
        <v>450</v>
      </c>
      <c r="M80" s="106">
        <v>448</v>
      </c>
      <c r="N80" s="106">
        <v>0</v>
      </c>
      <c r="O80" s="106">
        <v>0</v>
      </c>
      <c r="P80" s="106">
        <v>448</v>
      </c>
      <c r="Q80" s="106">
        <v>449</v>
      </c>
      <c r="R80" s="106">
        <v>449</v>
      </c>
      <c r="S80" s="106">
        <v>449</v>
      </c>
      <c r="T80" s="106"/>
      <c r="U80" s="106" t="s">
        <v>868</v>
      </c>
      <c r="V80" s="106" t="s">
        <v>868</v>
      </c>
      <c r="W80" s="106" t="s">
        <v>868</v>
      </c>
      <c r="X80" s="106" t="s">
        <v>868</v>
      </c>
      <c r="Y80" s="106" t="s">
        <v>868</v>
      </c>
      <c r="Z80" s="150" t="s">
        <v>868</v>
      </c>
      <c r="AA80" s="106" t="s">
        <v>868</v>
      </c>
      <c r="AB80" s="106" t="s">
        <v>868</v>
      </c>
      <c r="AC80" s="142"/>
    </row>
    <row r="81" spans="1:29" x14ac:dyDescent="0.2">
      <c r="A81" s="104" t="s">
        <v>521</v>
      </c>
      <c r="B81" s="104">
        <v>543</v>
      </c>
      <c r="C81" s="104" t="s">
        <v>527</v>
      </c>
      <c r="D81" s="105" t="s">
        <v>889</v>
      </c>
      <c r="E81" s="106">
        <v>608</v>
      </c>
      <c r="F81" s="106">
        <v>607</v>
      </c>
      <c r="G81" s="106">
        <v>608</v>
      </c>
      <c r="H81" s="106">
        <v>609</v>
      </c>
      <c r="I81" s="106">
        <v>613</v>
      </c>
      <c r="J81" s="106">
        <v>613</v>
      </c>
      <c r="K81" s="106">
        <v>613</v>
      </c>
      <c r="L81" s="106">
        <v>614</v>
      </c>
      <c r="M81" s="106">
        <v>614</v>
      </c>
      <c r="N81" s="106">
        <v>0</v>
      </c>
      <c r="O81" s="106">
        <v>0</v>
      </c>
      <c r="P81" s="106">
        <v>614</v>
      </c>
      <c r="Q81" s="106">
        <v>614</v>
      </c>
      <c r="R81" s="106">
        <v>614</v>
      </c>
      <c r="S81" s="106">
        <v>615</v>
      </c>
      <c r="T81" s="106"/>
      <c r="U81" s="106" t="s">
        <v>868</v>
      </c>
      <c r="V81" s="106" t="s">
        <v>868</v>
      </c>
      <c r="W81" s="106" t="s">
        <v>868</v>
      </c>
      <c r="X81" s="106" t="s">
        <v>868</v>
      </c>
      <c r="Y81" s="106" t="s">
        <v>868</v>
      </c>
      <c r="Z81" s="150" t="s">
        <v>868</v>
      </c>
      <c r="AA81" s="106" t="s">
        <v>868</v>
      </c>
      <c r="AB81" s="106" t="s">
        <v>868</v>
      </c>
      <c r="AC81" s="142"/>
    </row>
    <row r="82" spans="1:29" x14ac:dyDescent="0.2">
      <c r="A82" s="104" t="s">
        <v>521</v>
      </c>
      <c r="B82" s="104">
        <v>590</v>
      </c>
      <c r="C82" s="104" t="s">
        <v>523</v>
      </c>
      <c r="D82" s="105" t="s">
        <v>889</v>
      </c>
      <c r="E82" s="106">
        <v>0</v>
      </c>
      <c r="F82" s="106">
        <v>0</v>
      </c>
      <c r="G82" s="106">
        <v>0</v>
      </c>
      <c r="H82" s="106">
        <v>0</v>
      </c>
      <c r="I82" s="106">
        <v>0</v>
      </c>
      <c r="J82" s="106">
        <v>0</v>
      </c>
      <c r="K82" s="106">
        <v>0</v>
      </c>
      <c r="L82" s="106">
        <v>0</v>
      </c>
      <c r="M82" s="106">
        <v>0</v>
      </c>
      <c r="N82" s="106">
        <v>3665</v>
      </c>
      <c r="O82" s="106">
        <v>2820</v>
      </c>
      <c r="P82" s="106">
        <v>2863</v>
      </c>
      <c r="Q82" s="106">
        <v>3232</v>
      </c>
      <c r="R82" s="106">
        <v>2867</v>
      </c>
      <c r="S82" s="106">
        <v>2939</v>
      </c>
      <c r="T82" s="106">
        <v>3141</v>
      </c>
      <c r="U82" s="106">
        <v>3160</v>
      </c>
      <c r="V82" s="106">
        <v>3067</v>
      </c>
      <c r="W82" s="106">
        <v>3263</v>
      </c>
      <c r="X82" s="106">
        <v>3434</v>
      </c>
      <c r="Y82" s="106">
        <v>3171</v>
      </c>
      <c r="Z82" s="150">
        <v>3178</v>
      </c>
      <c r="AA82" s="150">
        <v>3314</v>
      </c>
      <c r="AB82" s="150">
        <v>3177</v>
      </c>
      <c r="AC82" s="142"/>
    </row>
    <row r="83" spans="1:29" x14ac:dyDescent="0.2">
      <c r="A83" s="104" t="s">
        <v>521</v>
      </c>
      <c r="B83" s="104">
        <v>964</v>
      </c>
      <c r="C83" s="104" t="s">
        <v>911</v>
      </c>
      <c r="D83" s="105" t="s">
        <v>889</v>
      </c>
      <c r="E83" s="106">
        <v>0</v>
      </c>
      <c r="F83" s="106">
        <v>0</v>
      </c>
      <c r="G83" s="106">
        <v>0</v>
      </c>
      <c r="H83" s="106">
        <v>0</v>
      </c>
      <c r="I83" s="106">
        <v>0</v>
      </c>
      <c r="J83" s="106">
        <v>0</v>
      </c>
      <c r="K83" s="106">
        <v>0</v>
      </c>
      <c r="L83" s="106">
        <v>0</v>
      </c>
      <c r="M83" s="106">
        <v>0</v>
      </c>
      <c r="N83" s="106">
        <v>0</v>
      </c>
      <c r="O83" s="106">
        <v>0</v>
      </c>
      <c r="P83" s="106">
        <v>370</v>
      </c>
      <c r="Q83" s="106">
        <v>389</v>
      </c>
      <c r="R83" s="106">
        <v>443</v>
      </c>
      <c r="S83" s="106">
        <v>387</v>
      </c>
      <c r="T83" s="106">
        <v>393</v>
      </c>
      <c r="U83" s="106">
        <v>404</v>
      </c>
      <c r="V83" s="106">
        <v>402</v>
      </c>
      <c r="W83" s="106">
        <v>404</v>
      </c>
      <c r="X83" s="106">
        <v>404</v>
      </c>
      <c r="Y83" s="106" t="s">
        <v>868</v>
      </c>
      <c r="Z83" s="150" t="s">
        <v>868</v>
      </c>
      <c r="AA83" s="106" t="s">
        <v>868</v>
      </c>
      <c r="AB83" s="106" t="s">
        <v>868</v>
      </c>
      <c r="AC83" s="142"/>
    </row>
    <row r="84" spans="1:29" x14ac:dyDescent="0.2">
      <c r="A84" s="104" t="s">
        <v>521</v>
      </c>
      <c r="B84" s="104">
        <v>1631</v>
      </c>
      <c r="C84" s="104" t="s">
        <v>534</v>
      </c>
      <c r="D84" s="105" t="s">
        <v>889</v>
      </c>
      <c r="E84" s="106">
        <v>4617</v>
      </c>
      <c r="F84" s="106">
        <v>0</v>
      </c>
      <c r="G84" s="106">
        <v>4720</v>
      </c>
      <c r="H84" s="106">
        <v>0</v>
      </c>
      <c r="I84" s="106">
        <v>4653</v>
      </c>
      <c r="J84" s="106">
        <v>4650</v>
      </c>
      <c r="K84" s="106">
        <v>3879</v>
      </c>
      <c r="L84" s="106">
        <v>4642</v>
      </c>
      <c r="M84" s="106">
        <v>4642</v>
      </c>
      <c r="N84" s="106">
        <v>4409</v>
      </c>
      <c r="O84" s="106">
        <v>4201</v>
      </c>
      <c r="P84" s="106">
        <v>4233</v>
      </c>
      <c r="Q84" s="106">
        <v>4385</v>
      </c>
      <c r="R84" s="106">
        <v>4425</v>
      </c>
      <c r="S84" s="106">
        <v>4426</v>
      </c>
      <c r="T84" s="106">
        <v>4445</v>
      </c>
      <c r="U84" s="106">
        <v>4584</v>
      </c>
      <c r="V84" s="106">
        <v>4632</v>
      </c>
      <c r="W84" s="106">
        <v>4666</v>
      </c>
      <c r="X84" s="106">
        <v>4698</v>
      </c>
      <c r="Y84" s="106">
        <v>4776</v>
      </c>
      <c r="Z84" s="150">
        <v>4946</v>
      </c>
      <c r="AA84" s="150">
        <v>4881</v>
      </c>
      <c r="AB84" s="150">
        <v>6025</v>
      </c>
      <c r="AC84" s="142"/>
    </row>
    <row r="85" spans="1:29" x14ac:dyDescent="0.2">
      <c r="A85" s="104" t="s">
        <v>521</v>
      </c>
      <c r="B85" s="104">
        <v>2043</v>
      </c>
      <c r="C85" s="104" t="s">
        <v>912</v>
      </c>
      <c r="D85" s="105" t="s">
        <v>889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492</v>
      </c>
      <c r="L85" s="106">
        <v>492</v>
      </c>
      <c r="M85" s="106">
        <v>492</v>
      </c>
      <c r="N85" s="106">
        <v>492</v>
      </c>
      <c r="O85" s="106">
        <v>492</v>
      </c>
      <c r="P85" s="106">
        <v>492</v>
      </c>
      <c r="Q85" s="106">
        <v>492</v>
      </c>
      <c r="R85" s="106">
        <v>492</v>
      </c>
      <c r="S85" s="106">
        <v>492</v>
      </c>
      <c r="T85" s="106">
        <v>492</v>
      </c>
      <c r="U85" s="106">
        <v>492</v>
      </c>
      <c r="V85" s="106" t="s">
        <v>868</v>
      </c>
      <c r="W85" s="106" t="s">
        <v>868</v>
      </c>
      <c r="X85" s="106" t="s">
        <v>868</v>
      </c>
      <c r="Y85" s="106" t="s">
        <v>868</v>
      </c>
      <c r="Z85" s="150" t="s">
        <v>868</v>
      </c>
      <c r="AA85" s="106" t="s">
        <v>868</v>
      </c>
      <c r="AB85" s="106" t="s">
        <v>868</v>
      </c>
      <c r="AC85" s="142"/>
    </row>
    <row r="86" spans="1:29" x14ac:dyDescent="0.2">
      <c r="A86" s="104" t="s">
        <v>521</v>
      </c>
      <c r="B86" s="104">
        <v>2978</v>
      </c>
      <c r="C86" s="104" t="s">
        <v>523</v>
      </c>
      <c r="D86" s="105" t="s">
        <v>889</v>
      </c>
      <c r="E86" s="106">
        <v>4054</v>
      </c>
      <c r="F86" s="106">
        <v>4091</v>
      </c>
      <c r="G86" s="106">
        <v>4143</v>
      </c>
      <c r="H86" s="106">
        <v>4188</v>
      </c>
      <c r="I86" s="106">
        <v>4257</v>
      </c>
      <c r="J86" s="106">
        <v>4321</v>
      </c>
      <c r="K86" s="106">
        <v>4497</v>
      </c>
      <c r="L86" s="106">
        <v>4514</v>
      </c>
      <c r="M86" s="106">
        <v>4582</v>
      </c>
      <c r="N86" s="106">
        <v>4706</v>
      </c>
      <c r="O86" s="106">
        <v>2958</v>
      </c>
      <c r="P86" s="106">
        <v>3000</v>
      </c>
      <c r="Q86" s="106">
        <v>3015</v>
      </c>
      <c r="R86" s="106">
        <v>2827</v>
      </c>
      <c r="S86" s="106">
        <v>3001</v>
      </c>
      <c r="T86" s="106">
        <v>3074</v>
      </c>
      <c r="U86" s="106">
        <v>2726</v>
      </c>
      <c r="V86" s="106">
        <v>2740</v>
      </c>
      <c r="W86" s="106">
        <v>2740</v>
      </c>
      <c r="X86" s="106">
        <v>2796</v>
      </c>
      <c r="Y86" s="106">
        <v>2792</v>
      </c>
      <c r="Z86" s="150">
        <v>2817</v>
      </c>
      <c r="AA86" s="150">
        <v>3845</v>
      </c>
      <c r="AB86" s="150">
        <v>3951</v>
      </c>
      <c r="AC86" s="142"/>
    </row>
    <row r="87" spans="1:29" x14ac:dyDescent="0.2">
      <c r="A87" s="104" t="s">
        <v>521</v>
      </c>
      <c r="B87" s="104">
        <v>3182</v>
      </c>
      <c r="C87" s="104" t="s">
        <v>523</v>
      </c>
      <c r="D87" s="105" t="s">
        <v>889</v>
      </c>
      <c r="E87" s="106">
        <v>9302.6880000000019</v>
      </c>
      <c r="F87" s="106">
        <v>9371.6190000000006</v>
      </c>
      <c r="G87" s="106">
        <v>9869.0000000000018</v>
      </c>
      <c r="H87" s="106">
        <v>10563</v>
      </c>
      <c r="I87" s="106">
        <v>11296</v>
      </c>
      <c r="J87" s="106">
        <v>11896</v>
      </c>
      <c r="K87" s="106">
        <v>12607</v>
      </c>
      <c r="L87" s="106">
        <v>12566</v>
      </c>
      <c r="M87" s="106">
        <v>12487</v>
      </c>
      <c r="N87" s="106">
        <v>12430</v>
      </c>
      <c r="O87" s="106">
        <v>12484</v>
      </c>
      <c r="P87" s="106">
        <v>12511</v>
      </c>
      <c r="Q87" s="106">
        <v>12840</v>
      </c>
      <c r="R87" s="106">
        <v>13537</v>
      </c>
      <c r="S87" s="106">
        <v>13130</v>
      </c>
      <c r="T87" s="106">
        <v>13241</v>
      </c>
      <c r="U87" s="106">
        <v>13247</v>
      </c>
      <c r="V87" s="106">
        <v>13219</v>
      </c>
      <c r="W87" s="106">
        <v>13062</v>
      </c>
      <c r="X87" s="106">
        <v>13189</v>
      </c>
      <c r="Y87" s="106">
        <v>13262</v>
      </c>
      <c r="Z87" s="150">
        <v>13620</v>
      </c>
      <c r="AA87" s="150">
        <v>13826</v>
      </c>
      <c r="AB87" s="150">
        <v>13944</v>
      </c>
      <c r="AC87" s="142"/>
    </row>
    <row r="88" spans="1:29" x14ac:dyDescent="0.2">
      <c r="A88" s="104" t="s">
        <v>521</v>
      </c>
      <c r="B88" s="104">
        <v>3590</v>
      </c>
      <c r="C88" s="104" t="s">
        <v>904</v>
      </c>
      <c r="D88" s="105" t="s">
        <v>889</v>
      </c>
      <c r="E88" s="106">
        <v>0</v>
      </c>
      <c r="F88" s="106">
        <v>1200</v>
      </c>
      <c r="G88" s="106">
        <v>1085</v>
      </c>
      <c r="H88" s="106">
        <v>1099</v>
      </c>
      <c r="I88" s="106">
        <v>1084</v>
      </c>
      <c r="J88" s="106">
        <v>1084</v>
      </c>
      <c r="K88" s="106">
        <v>1108</v>
      </c>
      <c r="L88" s="106">
        <v>1108</v>
      </c>
      <c r="M88" s="106">
        <v>1108</v>
      </c>
      <c r="N88" s="106">
        <v>1714</v>
      </c>
      <c r="O88" s="106">
        <v>1714</v>
      </c>
      <c r="P88" s="106">
        <v>1589</v>
      </c>
      <c r="Q88" s="106">
        <v>1085</v>
      </c>
      <c r="R88" s="106">
        <v>1844</v>
      </c>
      <c r="S88" s="106">
        <v>1791</v>
      </c>
      <c r="T88" s="106">
        <v>1844</v>
      </c>
      <c r="U88" s="106">
        <v>1847</v>
      </c>
      <c r="V88" s="106">
        <v>1848</v>
      </c>
      <c r="W88" s="106">
        <v>1856</v>
      </c>
      <c r="X88" s="106">
        <v>1849</v>
      </c>
      <c r="Y88" s="106">
        <v>1850</v>
      </c>
      <c r="Z88" s="150">
        <v>1794</v>
      </c>
      <c r="AA88" s="150">
        <v>1829</v>
      </c>
      <c r="AB88" s="150">
        <v>1872</v>
      </c>
      <c r="AC88" s="142"/>
    </row>
    <row r="89" spans="1:29" x14ac:dyDescent="0.2">
      <c r="A89" s="104" t="s">
        <v>521</v>
      </c>
      <c r="B89" s="104">
        <v>3668</v>
      </c>
      <c r="C89" s="104" t="s">
        <v>904</v>
      </c>
      <c r="D89" s="105" t="s">
        <v>889</v>
      </c>
      <c r="E89" s="106">
        <v>0</v>
      </c>
      <c r="F89" s="106">
        <v>828</v>
      </c>
      <c r="G89" s="106">
        <v>898</v>
      </c>
      <c r="H89" s="106">
        <v>980</v>
      </c>
      <c r="I89" s="106">
        <v>0</v>
      </c>
      <c r="J89" s="106">
        <v>1035</v>
      </c>
      <c r="K89" s="106">
        <v>1139</v>
      </c>
      <c r="L89" s="106">
        <v>1113</v>
      </c>
      <c r="M89" s="106">
        <v>1118</v>
      </c>
      <c r="N89" s="106">
        <v>1118</v>
      </c>
      <c r="O89" s="106">
        <v>1118</v>
      </c>
      <c r="P89" s="106">
        <v>1794</v>
      </c>
      <c r="Q89" s="106">
        <v>1179</v>
      </c>
      <c r="R89" s="106">
        <v>1173</v>
      </c>
      <c r="S89" s="106">
        <v>1193</v>
      </c>
      <c r="T89" s="106">
        <v>1196</v>
      </c>
      <c r="U89" s="106">
        <v>1204</v>
      </c>
      <c r="V89" s="106" t="s">
        <v>868</v>
      </c>
      <c r="W89" s="106" t="s">
        <v>868</v>
      </c>
      <c r="X89" s="106" t="s">
        <v>868</v>
      </c>
      <c r="Y89" s="106" t="s">
        <v>868</v>
      </c>
      <c r="Z89" s="150" t="s">
        <v>868</v>
      </c>
      <c r="AA89" s="106" t="s">
        <v>868</v>
      </c>
      <c r="AB89" s="106" t="s">
        <v>868</v>
      </c>
      <c r="AC89" s="142"/>
    </row>
    <row r="90" spans="1:29" x14ac:dyDescent="0.2">
      <c r="A90" s="104" t="s">
        <v>521</v>
      </c>
      <c r="B90" s="104">
        <v>3677</v>
      </c>
      <c r="C90" s="104" t="s">
        <v>523</v>
      </c>
      <c r="D90" s="105" t="s">
        <v>889</v>
      </c>
      <c r="E90" s="106">
        <v>0</v>
      </c>
      <c r="F90" s="106">
        <v>0</v>
      </c>
      <c r="G90" s="106">
        <v>0</v>
      </c>
      <c r="H90" s="106">
        <v>0</v>
      </c>
      <c r="I90" s="106">
        <v>0</v>
      </c>
      <c r="J90" s="106">
        <v>0</v>
      </c>
      <c r="K90" s="106">
        <v>0</v>
      </c>
      <c r="L90" s="106">
        <v>0</v>
      </c>
      <c r="M90" s="106">
        <v>698</v>
      </c>
      <c r="N90" s="106">
        <v>712</v>
      </c>
      <c r="O90" s="106">
        <v>712</v>
      </c>
      <c r="P90" s="106">
        <v>712</v>
      </c>
      <c r="Q90" s="106">
        <v>697</v>
      </c>
      <c r="R90" s="106">
        <v>705</v>
      </c>
      <c r="S90" s="106">
        <v>702</v>
      </c>
      <c r="T90" s="106">
        <v>714</v>
      </c>
      <c r="U90" s="106">
        <v>714</v>
      </c>
      <c r="V90" s="106">
        <v>714</v>
      </c>
      <c r="W90" s="106">
        <v>714</v>
      </c>
      <c r="X90" s="106" t="s">
        <v>868</v>
      </c>
      <c r="Y90" s="106" t="s">
        <v>868</v>
      </c>
      <c r="Z90" s="150" t="s">
        <v>868</v>
      </c>
      <c r="AA90" s="106" t="s">
        <v>868</v>
      </c>
      <c r="AB90" s="106" t="s">
        <v>868</v>
      </c>
      <c r="AC90" s="142"/>
    </row>
    <row r="91" spans="1:29" x14ac:dyDescent="0.2">
      <c r="A91" s="104" t="s">
        <v>521</v>
      </c>
      <c r="B91" s="104">
        <v>3692</v>
      </c>
      <c r="C91" s="104" t="s">
        <v>545</v>
      </c>
      <c r="D91" s="105" t="s">
        <v>889</v>
      </c>
      <c r="E91" s="106">
        <v>0</v>
      </c>
      <c r="F91" s="106">
        <v>0</v>
      </c>
      <c r="G91" s="106">
        <v>4665</v>
      </c>
      <c r="H91" s="106">
        <v>4700</v>
      </c>
      <c r="I91" s="106">
        <v>0</v>
      </c>
      <c r="J91" s="106">
        <v>4846</v>
      </c>
      <c r="K91" s="106">
        <v>4927</v>
      </c>
      <c r="L91" s="106">
        <v>4498</v>
      </c>
      <c r="M91" s="106">
        <v>4715</v>
      </c>
      <c r="N91" s="106">
        <v>4464</v>
      </c>
      <c r="O91" s="106">
        <v>4730</v>
      </c>
      <c r="P91" s="106">
        <v>5991</v>
      </c>
      <c r="Q91" s="106">
        <v>5991</v>
      </c>
      <c r="R91" s="106">
        <v>5866</v>
      </c>
      <c r="S91" s="106">
        <v>5991</v>
      </c>
      <c r="T91" s="106">
        <v>5725</v>
      </c>
      <c r="U91" s="106">
        <v>4993</v>
      </c>
      <c r="V91" s="106">
        <v>3116</v>
      </c>
      <c r="W91" s="106">
        <v>3144</v>
      </c>
      <c r="X91" s="106">
        <v>3144</v>
      </c>
      <c r="Y91" s="106">
        <v>3144</v>
      </c>
      <c r="Z91" s="150">
        <v>3144</v>
      </c>
      <c r="AA91" s="150">
        <v>3144</v>
      </c>
      <c r="AB91" s="150">
        <v>3027</v>
      </c>
      <c r="AC91" s="142"/>
    </row>
    <row r="92" spans="1:29" x14ac:dyDescent="0.2">
      <c r="A92" s="104" t="s">
        <v>521</v>
      </c>
      <c r="B92" s="104">
        <v>3759</v>
      </c>
      <c r="C92" s="104" t="s">
        <v>913</v>
      </c>
      <c r="D92" s="105" t="s">
        <v>889</v>
      </c>
      <c r="E92" s="106"/>
      <c r="F92" s="106"/>
      <c r="G92" s="106"/>
      <c r="H92" s="106"/>
      <c r="I92" s="106"/>
      <c r="J92" s="106"/>
      <c r="K92" s="106"/>
      <c r="L92" s="106"/>
      <c r="M92" s="106"/>
      <c r="N92" s="106"/>
      <c r="O92" s="106"/>
      <c r="P92" s="106"/>
      <c r="Q92" s="106"/>
      <c r="R92" s="106"/>
      <c r="S92" s="106">
        <v>1193</v>
      </c>
      <c r="T92" s="106"/>
      <c r="U92" s="106" t="s">
        <v>868</v>
      </c>
      <c r="V92" s="106" t="s">
        <v>868</v>
      </c>
      <c r="W92" s="106" t="s">
        <v>868</v>
      </c>
      <c r="X92" s="106" t="s">
        <v>868</v>
      </c>
      <c r="Y92" s="106" t="s">
        <v>868</v>
      </c>
      <c r="Z92" s="150" t="s">
        <v>868</v>
      </c>
      <c r="AA92" s="106" t="s">
        <v>868</v>
      </c>
      <c r="AB92" s="106" t="s">
        <v>868</v>
      </c>
      <c r="AC92" s="142"/>
    </row>
    <row r="93" spans="1:29" x14ac:dyDescent="0.2">
      <c r="A93" s="104" t="s">
        <v>521</v>
      </c>
      <c r="B93" s="104">
        <v>4550</v>
      </c>
      <c r="C93" s="104" t="s">
        <v>549</v>
      </c>
      <c r="D93" s="105" t="s">
        <v>889</v>
      </c>
      <c r="E93" s="106">
        <v>450</v>
      </c>
      <c r="F93" s="106">
        <v>467</v>
      </c>
      <c r="G93" s="106">
        <v>487</v>
      </c>
      <c r="H93" s="106">
        <v>0</v>
      </c>
      <c r="I93" s="106">
        <v>0</v>
      </c>
      <c r="J93" s="106">
        <v>0</v>
      </c>
      <c r="K93" s="106">
        <v>0</v>
      </c>
      <c r="L93" s="106">
        <v>0</v>
      </c>
      <c r="M93" s="106">
        <v>0</v>
      </c>
      <c r="N93" s="106">
        <v>0</v>
      </c>
      <c r="O93" s="106">
        <v>0</v>
      </c>
      <c r="P93" s="106">
        <v>548</v>
      </c>
      <c r="Q93" s="106">
        <v>550</v>
      </c>
      <c r="R93" s="106">
        <v>560</v>
      </c>
      <c r="S93" s="106">
        <v>555</v>
      </c>
      <c r="T93" s="106">
        <v>555</v>
      </c>
      <c r="U93" s="106">
        <v>589</v>
      </c>
      <c r="V93" s="106">
        <v>625</v>
      </c>
      <c r="W93" s="106">
        <v>623</v>
      </c>
      <c r="X93" s="106">
        <v>645</v>
      </c>
      <c r="Y93" s="106">
        <v>654</v>
      </c>
      <c r="Z93" s="150">
        <v>686</v>
      </c>
      <c r="AA93" s="150">
        <v>699</v>
      </c>
      <c r="AB93" s="150">
        <v>748</v>
      </c>
      <c r="AC93" s="142"/>
    </row>
    <row r="94" spans="1:29" x14ac:dyDescent="0.2">
      <c r="A94" s="104" t="s">
        <v>521</v>
      </c>
      <c r="B94" s="104">
        <v>4668</v>
      </c>
      <c r="C94" s="104" t="s">
        <v>904</v>
      </c>
      <c r="D94" s="105" t="s">
        <v>889</v>
      </c>
      <c r="E94" s="106">
        <v>0</v>
      </c>
      <c r="F94" s="106">
        <v>561</v>
      </c>
      <c r="G94" s="106">
        <v>563</v>
      </c>
      <c r="H94" s="106">
        <v>581</v>
      </c>
      <c r="I94" s="106">
        <v>0</v>
      </c>
      <c r="J94" s="106">
        <v>538</v>
      </c>
      <c r="K94" s="106">
        <v>570</v>
      </c>
      <c r="L94" s="106">
        <v>739</v>
      </c>
      <c r="M94" s="106">
        <v>570</v>
      </c>
      <c r="N94" s="106">
        <v>785</v>
      </c>
      <c r="O94" s="106">
        <v>570</v>
      </c>
      <c r="P94" s="106">
        <v>789</v>
      </c>
      <c r="Q94" s="106">
        <v>541</v>
      </c>
      <c r="R94" s="106"/>
      <c r="S94" s="106"/>
      <c r="T94" s="106"/>
      <c r="U94" s="106" t="s">
        <v>868</v>
      </c>
      <c r="V94" s="106" t="s">
        <v>868</v>
      </c>
      <c r="W94" s="106" t="s">
        <v>868</v>
      </c>
      <c r="X94" s="106" t="s">
        <v>868</v>
      </c>
      <c r="Y94" s="106" t="s">
        <v>868</v>
      </c>
      <c r="Z94" s="150" t="s">
        <v>868</v>
      </c>
      <c r="AA94" s="106" t="s">
        <v>868</v>
      </c>
      <c r="AB94" s="106" t="s">
        <v>868</v>
      </c>
      <c r="AC94" s="142"/>
    </row>
    <row r="95" spans="1:29" x14ac:dyDescent="0.2">
      <c r="A95" s="104" t="s">
        <v>521</v>
      </c>
      <c r="B95" s="104">
        <v>4669</v>
      </c>
      <c r="C95" s="104" t="s">
        <v>914</v>
      </c>
      <c r="D95" s="105" t="s">
        <v>889</v>
      </c>
      <c r="E95" s="106">
        <v>3334</v>
      </c>
      <c r="F95" s="106">
        <v>3343</v>
      </c>
      <c r="G95" s="106">
        <v>3359</v>
      </c>
      <c r="H95" s="106">
        <v>3446</v>
      </c>
      <c r="I95" s="106">
        <v>0</v>
      </c>
      <c r="J95" s="106">
        <v>3443</v>
      </c>
      <c r="K95" s="106">
        <v>3462</v>
      </c>
      <c r="L95" s="106">
        <v>3428</v>
      </c>
      <c r="M95" s="106">
        <v>3416</v>
      </c>
      <c r="N95" s="106">
        <v>3413</v>
      </c>
      <c r="O95" s="106">
        <v>3414</v>
      </c>
      <c r="P95" s="106">
        <v>3404</v>
      </c>
      <c r="Q95" s="106">
        <v>3404</v>
      </c>
      <c r="R95" s="106">
        <v>3374</v>
      </c>
      <c r="S95" s="106">
        <v>3510</v>
      </c>
      <c r="T95" s="106">
        <v>3510</v>
      </c>
      <c r="U95" s="106">
        <v>3793</v>
      </c>
      <c r="V95" s="106">
        <v>3069</v>
      </c>
      <c r="W95" s="106">
        <v>3419</v>
      </c>
      <c r="X95" s="106">
        <v>3372</v>
      </c>
      <c r="Y95" s="106">
        <v>3469</v>
      </c>
      <c r="Z95" s="150">
        <v>3422</v>
      </c>
      <c r="AA95" s="150">
        <v>3113</v>
      </c>
      <c r="AB95" s="150">
        <v>3517</v>
      </c>
      <c r="AC95" s="142"/>
    </row>
    <row r="96" spans="1:29" x14ac:dyDescent="0.2">
      <c r="A96" s="104" t="s">
        <v>521</v>
      </c>
      <c r="B96" s="104">
        <v>4734</v>
      </c>
      <c r="C96" s="104" t="s">
        <v>554</v>
      </c>
      <c r="D96" s="105" t="s">
        <v>889</v>
      </c>
      <c r="E96" s="106">
        <v>13854</v>
      </c>
      <c r="F96" s="106">
        <v>14065</v>
      </c>
      <c r="G96" s="106">
        <v>14065</v>
      </c>
      <c r="H96" s="106">
        <v>14030</v>
      </c>
      <c r="I96" s="106">
        <v>14297</v>
      </c>
      <c r="J96" s="106">
        <v>14438</v>
      </c>
      <c r="K96" s="106">
        <v>14631</v>
      </c>
      <c r="L96" s="106">
        <v>14040</v>
      </c>
      <c r="M96" s="106">
        <v>13898</v>
      </c>
      <c r="N96" s="106">
        <v>14822</v>
      </c>
      <c r="O96" s="106">
        <v>14366</v>
      </c>
      <c r="P96" s="106">
        <v>14256</v>
      </c>
      <c r="Q96" s="106">
        <v>14413</v>
      </c>
      <c r="R96" s="106">
        <v>14393</v>
      </c>
      <c r="S96" s="106">
        <v>14716</v>
      </c>
      <c r="T96" s="106">
        <v>15073</v>
      </c>
      <c r="U96" s="106">
        <v>15802</v>
      </c>
      <c r="V96" s="106">
        <v>15770</v>
      </c>
      <c r="W96" s="106">
        <v>15865</v>
      </c>
      <c r="X96" s="106">
        <v>15985</v>
      </c>
      <c r="Y96" s="106">
        <v>14756</v>
      </c>
      <c r="Z96" s="150">
        <v>15020</v>
      </c>
      <c r="AA96" s="150">
        <v>14936</v>
      </c>
      <c r="AB96" s="150">
        <v>16061</v>
      </c>
      <c r="AC96" s="142"/>
    </row>
    <row r="97" spans="1:29" x14ac:dyDescent="0.2">
      <c r="A97" s="104" t="s">
        <v>521</v>
      </c>
      <c r="B97" s="104">
        <v>6040</v>
      </c>
      <c r="C97" s="104" t="s">
        <v>558</v>
      </c>
      <c r="D97" s="105" t="s">
        <v>889</v>
      </c>
      <c r="E97" s="106">
        <v>13790</v>
      </c>
      <c r="F97" s="106">
        <v>14243</v>
      </c>
      <c r="G97" s="106">
        <v>14801</v>
      </c>
      <c r="H97" s="106">
        <v>15037</v>
      </c>
      <c r="I97" s="106">
        <v>0</v>
      </c>
      <c r="J97" s="106">
        <v>16058</v>
      </c>
      <c r="K97" s="106">
        <v>16405</v>
      </c>
      <c r="L97" s="106">
        <v>16485</v>
      </c>
      <c r="M97" s="106">
        <v>16559</v>
      </c>
      <c r="N97" s="106">
        <v>10982</v>
      </c>
      <c r="O97" s="106">
        <v>10042</v>
      </c>
      <c r="P97" s="106">
        <v>10899</v>
      </c>
      <c r="Q97" s="106">
        <v>11070</v>
      </c>
      <c r="R97" s="106">
        <v>10562</v>
      </c>
      <c r="S97" s="106">
        <v>12901</v>
      </c>
      <c r="T97" s="106">
        <v>13239</v>
      </c>
      <c r="U97" s="106">
        <v>13304</v>
      </c>
      <c r="V97" s="106">
        <v>13199</v>
      </c>
      <c r="W97" s="106">
        <v>13346</v>
      </c>
      <c r="X97" s="106">
        <v>13394</v>
      </c>
      <c r="Y97" s="106">
        <v>13768</v>
      </c>
      <c r="Z97" s="150">
        <v>14062</v>
      </c>
      <c r="AA97" s="150">
        <v>14627</v>
      </c>
      <c r="AB97" s="150">
        <v>15306</v>
      </c>
      <c r="AC97" s="142"/>
    </row>
    <row r="98" spans="1:29" x14ac:dyDescent="0.2">
      <c r="A98" s="104" t="s">
        <v>521</v>
      </c>
      <c r="B98" s="104">
        <v>7299</v>
      </c>
      <c r="C98" s="104" t="s">
        <v>915</v>
      </c>
      <c r="D98" s="105" t="s">
        <v>889</v>
      </c>
      <c r="E98" s="106">
        <v>0</v>
      </c>
      <c r="F98" s="106">
        <v>0</v>
      </c>
      <c r="G98" s="106">
        <v>0</v>
      </c>
      <c r="H98" s="106">
        <v>0</v>
      </c>
      <c r="I98" s="106">
        <v>0</v>
      </c>
      <c r="J98" s="106">
        <v>0</v>
      </c>
      <c r="K98" s="106">
        <v>0</v>
      </c>
      <c r="L98" s="106">
        <v>0</v>
      </c>
      <c r="M98" s="106">
        <v>0</v>
      </c>
      <c r="N98" s="106">
        <v>0</v>
      </c>
      <c r="O98" s="106">
        <v>0</v>
      </c>
      <c r="P98" s="106">
        <v>443</v>
      </c>
      <c r="Q98" s="106">
        <v>445</v>
      </c>
      <c r="R98" s="106">
        <v>0</v>
      </c>
      <c r="S98" s="106">
        <v>0</v>
      </c>
      <c r="T98" s="106"/>
      <c r="U98" s="106" t="s">
        <v>868</v>
      </c>
      <c r="V98" s="106" t="s">
        <v>868</v>
      </c>
      <c r="W98" s="106" t="s">
        <v>868</v>
      </c>
      <c r="X98" s="106" t="s">
        <v>868</v>
      </c>
      <c r="Y98" s="106" t="s">
        <v>868</v>
      </c>
      <c r="Z98" s="150" t="s">
        <v>868</v>
      </c>
      <c r="AA98" s="106" t="s">
        <v>868</v>
      </c>
      <c r="AB98" s="106" t="s">
        <v>868</v>
      </c>
      <c r="AC98" s="142"/>
    </row>
    <row r="99" spans="1:29" x14ac:dyDescent="0.2">
      <c r="A99" s="104" t="s">
        <v>521</v>
      </c>
      <c r="B99" s="104">
        <v>7999</v>
      </c>
      <c r="C99" s="104" t="s">
        <v>523</v>
      </c>
      <c r="D99" s="105" t="s">
        <v>889</v>
      </c>
      <c r="E99" s="106">
        <v>0</v>
      </c>
      <c r="F99" s="106">
        <v>0</v>
      </c>
      <c r="G99" s="106">
        <v>648</v>
      </c>
      <c r="H99" s="106">
        <v>0</v>
      </c>
      <c r="I99" s="106">
        <v>0</v>
      </c>
      <c r="J99" s="106">
        <v>672</v>
      </c>
      <c r="K99" s="106">
        <v>672</v>
      </c>
      <c r="L99" s="106">
        <v>0</v>
      </c>
      <c r="M99" s="106">
        <v>698</v>
      </c>
      <c r="N99" s="106">
        <v>702</v>
      </c>
      <c r="O99" s="106">
        <v>698</v>
      </c>
      <c r="P99" s="106">
        <v>700</v>
      </c>
      <c r="Q99" s="106">
        <v>704</v>
      </c>
      <c r="R99" s="106">
        <v>704</v>
      </c>
      <c r="S99" s="106">
        <v>714</v>
      </c>
      <c r="T99" s="106">
        <v>714</v>
      </c>
      <c r="U99" s="106">
        <v>720</v>
      </c>
      <c r="V99" s="106">
        <v>721</v>
      </c>
      <c r="W99" s="106">
        <v>728</v>
      </c>
      <c r="X99" s="106">
        <v>727</v>
      </c>
      <c r="Y99" s="106">
        <v>734</v>
      </c>
      <c r="Z99" s="150">
        <v>738</v>
      </c>
      <c r="AA99" s="150">
        <v>744</v>
      </c>
      <c r="AB99" s="150">
        <v>750</v>
      </c>
      <c r="AC99" s="142"/>
    </row>
    <row r="100" spans="1:29" x14ac:dyDescent="0.2">
      <c r="A100" s="104" t="s">
        <v>521</v>
      </c>
      <c r="B100" s="104">
        <v>8417</v>
      </c>
      <c r="C100" s="104" t="s">
        <v>523</v>
      </c>
      <c r="D100" s="105" t="s">
        <v>889</v>
      </c>
      <c r="E100" s="106">
        <v>3347.9999999999995</v>
      </c>
      <c r="F100" s="106">
        <v>3065</v>
      </c>
      <c r="G100" s="106">
        <v>3065</v>
      </c>
      <c r="H100" s="106">
        <v>3303</v>
      </c>
      <c r="I100" s="106">
        <v>3321</v>
      </c>
      <c r="J100" s="106">
        <v>3316</v>
      </c>
      <c r="K100" s="106">
        <v>3294</v>
      </c>
      <c r="L100" s="106">
        <v>3251</v>
      </c>
      <c r="M100" s="106">
        <v>3261</v>
      </c>
      <c r="N100" s="106">
        <v>3212</v>
      </c>
      <c r="O100" s="106">
        <v>3187</v>
      </c>
      <c r="P100" s="106">
        <v>3173</v>
      </c>
      <c r="Q100" s="106">
        <v>3274</v>
      </c>
      <c r="R100" s="106">
        <v>3058</v>
      </c>
      <c r="S100" s="106">
        <v>3306</v>
      </c>
      <c r="T100" s="106">
        <v>3323</v>
      </c>
      <c r="U100" s="106">
        <v>3331</v>
      </c>
      <c r="V100" s="106">
        <v>3331</v>
      </c>
      <c r="W100" s="106">
        <v>3368</v>
      </c>
      <c r="X100" s="106">
        <v>3369</v>
      </c>
      <c r="Y100" s="106">
        <v>3373</v>
      </c>
      <c r="Z100" s="150">
        <v>3376</v>
      </c>
      <c r="AA100" s="150">
        <v>3593</v>
      </c>
      <c r="AB100" s="150">
        <v>3371</v>
      </c>
      <c r="AC100" s="142"/>
    </row>
    <row r="101" spans="1:29" x14ac:dyDescent="0.2">
      <c r="A101" s="104" t="s">
        <v>521</v>
      </c>
      <c r="B101" s="104">
        <v>11863</v>
      </c>
      <c r="C101" s="104" t="s">
        <v>916</v>
      </c>
      <c r="D101" s="105" t="s">
        <v>889</v>
      </c>
      <c r="E101" s="106">
        <v>42000</v>
      </c>
      <c r="F101" s="106">
        <v>57554</v>
      </c>
      <c r="G101" s="106">
        <v>58451</v>
      </c>
      <c r="H101" s="106">
        <v>63649</v>
      </c>
      <c r="I101" s="106">
        <v>0</v>
      </c>
      <c r="J101" s="106">
        <v>80247</v>
      </c>
      <c r="K101" s="106">
        <v>86319</v>
      </c>
      <c r="L101" s="106">
        <v>92134</v>
      </c>
      <c r="M101" s="106">
        <v>90598</v>
      </c>
      <c r="N101" s="106">
        <v>85531</v>
      </c>
      <c r="O101" s="106">
        <v>95575</v>
      </c>
      <c r="P101" s="106">
        <v>95566</v>
      </c>
      <c r="Q101" s="106">
        <v>88652</v>
      </c>
      <c r="R101" s="106">
        <v>89337</v>
      </c>
      <c r="S101" s="106">
        <v>101229</v>
      </c>
      <c r="T101" s="106">
        <v>113037</v>
      </c>
      <c r="U101" s="106">
        <v>112952</v>
      </c>
      <c r="V101" s="106">
        <v>115540</v>
      </c>
      <c r="W101" s="106">
        <v>118275</v>
      </c>
      <c r="X101" s="106">
        <v>121188</v>
      </c>
      <c r="Y101" s="106">
        <v>126749</v>
      </c>
      <c r="Z101" s="150">
        <v>135190</v>
      </c>
      <c r="AA101" s="150">
        <v>138784</v>
      </c>
      <c r="AB101" s="150">
        <v>143642</v>
      </c>
      <c r="AC101" s="142"/>
    </row>
    <row r="102" spans="1:29" x14ac:dyDescent="0.2">
      <c r="A102" s="104" t="s">
        <v>582</v>
      </c>
      <c r="B102" s="104">
        <v>742</v>
      </c>
      <c r="C102" s="104" t="s">
        <v>584</v>
      </c>
      <c r="D102" s="105" t="s">
        <v>889</v>
      </c>
      <c r="E102" s="106">
        <v>0</v>
      </c>
      <c r="F102" s="106">
        <v>0</v>
      </c>
      <c r="G102" s="106">
        <v>11780</v>
      </c>
      <c r="H102" s="106">
        <v>10630</v>
      </c>
      <c r="I102" s="106">
        <v>12954</v>
      </c>
      <c r="J102" s="106">
        <v>13662</v>
      </c>
      <c r="K102" s="106">
        <v>13662</v>
      </c>
      <c r="L102" s="106">
        <v>12964</v>
      </c>
      <c r="M102" s="106">
        <v>13267</v>
      </c>
      <c r="N102" s="106">
        <v>13063</v>
      </c>
      <c r="O102" s="106">
        <v>13339</v>
      </c>
      <c r="P102" s="106">
        <v>13360</v>
      </c>
      <c r="Q102" s="106">
        <v>13372</v>
      </c>
      <c r="R102" s="106">
        <v>13388</v>
      </c>
      <c r="S102" s="106">
        <v>13417</v>
      </c>
      <c r="T102" s="106">
        <v>13428</v>
      </c>
      <c r="U102" s="106">
        <v>14561</v>
      </c>
      <c r="V102" s="106">
        <v>13343</v>
      </c>
      <c r="W102" s="106">
        <v>11885</v>
      </c>
      <c r="X102" s="106">
        <v>12417</v>
      </c>
      <c r="Y102" s="106">
        <v>12393</v>
      </c>
      <c r="Z102" s="150">
        <v>12516</v>
      </c>
      <c r="AA102" s="150">
        <v>12549</v>
      </c>
      <c r="AB102" s="150">
        <v>12769</v>
      </c>
      <c r="AC102" s="142"/>
    </row>
    <row r="103" spans="1:29" x14ac:dyDescent="0.2">
      <c r="A103" s="104" t="s">
        <v>582</v>
      </c>
      <c r="B103" s="104">
        <v>2980</v>
      </c>
      <c r="C103" s="104" t="s">
        <v>586</v>
      </c>
      <c r="D103" s="105" t="s">
        <v>889</v>
      </c>
      <c r="E103" s="106">
        <v>20472</v>
      </c>
      <c r="F103" s="106">
        <v>21054</v>
      </c>
      <c r="G103" s="106">
        <v>20729</v>
      </c>
      <c r="H103" s="106">
        <v>19904</v>
      </c>
      <c r="I103" s="106">
        <v>21099</v>
      </c>
      <c r="J103" s="106">
        <v>20929</v>
      </c>
      <c r="K103" s="106">
        <v>19094</v>
      </c>
      <c r="L103" s="106">
        <v>19686</v>
      </c>
      <c r="M103" s="106">
        <v>20130</v>
      </c>
      <c r="N103" s="106">
        <v>19839</v>
      </c>
      <c r="O103" s="106">
        <v>20243</v>
      </c>
      <c r="P103" s="106">
        <v>20421</v>
      </c>
      <c r="Q103" s="106">
        <v>21035</v>
      </c>
      <c r="R103" s="106">
        <v>21251</v>
      </c>
      <c r="S103" s="106">
        <v>21377</v>
      </c>
      <c r="T103" s="106">
        <v>21426</v>
      </c>
      <c r="U103" s="106">
        <v>21773</v>
      </c>
      <c r="V103" s="106">
        <v>22140</v>
      </c>
      <c r="W103" s="106">
        <v>22612</v>
      </c>
      <c r="X103" s="106">
        <v>22677</v>
      </c>
      <c r="Y103" s="106">
        <v>22843</v>
      </c>
      <c r="Z103" s="150">
        <v>22797</v>
      </c>
      <c r="AA103" s="150">
        <v>22720</v>
      </c>
      <c r="AB103" s="150">
        <v>22828</v>
      </c>
      <c r="AC103" s="142"/>
    </row>
    <row r="104" spans="1:29" x14ac:dyDescent="0.2">
      <c r="A104" s="104" t="s">
        <v>582</v>
      </c>
      <c r="B104" s="104">
        <v>2981</v>
      </c>
      <c r="C104" s="104" t="s">
        <v>917</v>
      </c>
      <c r="D104" s="105" t="s">
        <v>889</v>
      </c>
      <c r="E104" s="106">
        <v>55410</v>
      </c>
      <c r="F104" s="106">
        <v>55822</v>
      </c>
      <c r="G104" s="106">
        <v>56423</v>
      </c>
      <c r="H104" s="106">
        <v>63359</v>
      </c>
      <c r="I104" s="106">
        <v>63547</v>
      </c>
      <c r="J104" s="106">
        <v>63664</v>
      </c>
      <c r="K104" s="106">
        <v>56394</v>
      </c>
      <c r="L104" s="106">
        <v>61083</v>
      </c>
      <c r="M104" s="106">
        <v>56541</v>
      </c>
      <c r="N104" s="106">
        <v>56462</v>
      </c>
      <c r="O104" s="106">
        <v>52517</v>
      </c>
      <c r="P104" s="106">
        <v>56407</v>
      </c>
      <c r="Q104" s="106">
        <v>56235</v>
      </c>
      <c r="R104" s="106">
        <v>56400</v>
      </c>
      <c r="S104" s="106">
        <v>56560</v>
      </c>
      <c r="T104" s="106">
        <v>58786</v>
      </c>
      <c r="U104" s="106">
        <v>59718</v>
      </c>
      <c r="V104" s="106">
        <v>60016</v>
      </c>
      <c r="W104" s="106">
        <v>60951</v>
      </c>
      <c r="X104" s="106">
        <v>60740</v>
      </c>
      <c r="Y104" s="106">
        <v>61106</v>
      </c>
      <c r="Z104" s="150">
        <v>61403</v>
      </c>
      <c r="AA104" s="150">
        <v>61513</v>
      </c>
      <c r="AB104" s="150">
        <v>61620</v>
      </c>
      <c r="AC104" s="142"/>
    </row>
    <row r="105" spans="1:29" x14ac:dyDescent="0.2">
      <c r="A105" s="104" t="s">
        <v>582</v>
      </c>
      <c r="B105" s="104">
        <v>7692</v>
      </c>
      <c r="C105" s="104" t="s">
        <v>590</v>
      </c>
      <c r="D105" s="105" t="s">
        <v>889</v>
      </c>
      <c r="E105" s="106">
        <v>2422</v>
      </c>
      <c r="F105" s="106">
        <v>2422</v>
      </c>
      <c r="G105" s="106">
        <v>2422</v>
      </c>
      <c r="H105" s="106">
        <v>2422</v>
      </c>
      <c r="I105" s="106">
        <v>2422</v>
      </c>
      <c r="J105" s="106">
        <v>2422</v>
      </c>
      <c r="K105" s="106">
        <v>2422</v>
      </c>
      <c r="L105" s="106">
        <v>1478</v>
      </c>
      <c r="M105" s="106">
        <v>2267</v>
      </c>
      <c r="N105" s="106">
        <v>2267</v>
      </c>
      <c r="O105" s="106">
        <v>2267</v>
      </c>
      <c r="P105" s="106">
        <v>2944</v>
      </c>
      <c r="Q105" s="106">
        <v>1944</v>
      </c>
      <c r="R105" s="106">
        <v>2464</v>
      </c>
      <c r="S105" s="106">
        <v>2420</v>
      </c>
      <c r="T105" s="106">
        <v>2464</v>
      </c>
      <c r="U105" s="106">
        <v>2489</v>
      </c>
      <c r="V105" s="106">
        <v>2489</v>
      </c>
      <c r="W105" s="106">
        <v>2563</v>
      </c>
      <c r="X105" s="106">
        <v>2693</v>
      </c>
      <c r="Y105" s="106">
        <v>2693</v>
      </c>
      <c r="Z105" s="150">
        <v>2704</v>
      </c>
      <c r="AA105" s="150">
        <v>2704</v>
      </c>
      <c r="AB105" s="150">
        <v>2563</v>
      </c>
      <c r="AC105" s="142"/>
    </row>
    <row r="106" spans="1:29" x14ac:dyDescent="0.2">
      <c r="A106" s="104" t="s">
        <v>582</v>
      </c>
      <c r="B106" s="104">
        <v>10350</v>
      </c>
      <c r="C106" s="104" t="s">
        <v>904</v>
      </c>
      <c r="D106" s="105" t="s">
        <v>889</v>
      </c>
      <c r="E106" s="106">
        <v>0</v>
      </c>
      <c r="F106" s="106">
        <v>0</v>
      </c>
      <c r="G106" s="106">
        <v>0</v>
      </c>
      <c r="H106" s="106">
        <v>0</v>
      </c>
      <c r="I106" s="106">
        <v>0</v>
      </c>
      <c r="J106" s="106">
        <v>0</v>
      </c>
      <c r="K106" s="106">
        <v>514</v>
      </c>
      <c r="L106" s="106">
        <v>514</v>
      </c>
      <c r="M106" s="106">
        <v>514</v>
      </c>
      <c r="N106" s="106">
        <v>1048</v>
      </c>
      <c r="O106" s="106">
        <v>1048</v>
      </c>
      <c r="P106" s="106">
        <v>507</v>
      </c>
      <c r="Q106" s="106">
        <v>514</v>
      </c>
      <c r="R106" s="106">
        <v>514</v>
      </c>
      <c r="S106" s="106">
        <v>502</v>
      </c>
      <c r="T106" s="106">
        <v>834</v>
      </c>
      <c r="U106" s="106">
        <v>0</v>
      </c>
      <c r="V106" s="106" t="s">
        <v>868</v>
      </c>
      <c r="W106" s="106" t="s">
        <v>868</v>
      </c>
      <c r="X106" s="106" t="s">
        <v>868</v>
      </c>
      <c r="Y106" s="106" t="s">
        <v>868</v>
      </c>
      <c r="Z106" s="150" t="s">
        <v>868</v>
      </c>
      <c r="AA106" s="106" t="s">
        <v>868</v>
      </c>
      <c r="AB106" s="106" t="s">
        <v>868</v>
      </c>
      <c r="AC106" s="142"/>
    </row>
    <row r="107" spans="1:29" x14ac:dyDescent="0.2">
      <c r="A107" s="104" t="s">
        <v>582</v>
      </c>
      <c r="B107" s="104">
        <v>10795</v>
      </c>
      <c r="C107" s="104" t="s">
        <v>593</v>
      </c>
      <c r="D107" s="105" t="s">
        <v>889</v>
      </c>
      <c r="E107" s="106">
        <v>0</v>
      </c>
      <c r="F107" s="106">
        <v>0</v>
      </c>
      <c r="G107" s="106">
        <v>0</v>
      </c>
      <c r="H107" s="106">
        <v>7775</v>
      </c>
      <c r="I107" s="106">
        <v>7830</v>
      </c>
      <c r="J107" s="106">
        <v>7863</v>
      </c>
      <c r="K107" s="106">
        <v>7901</v>
      </c>
      <c r="L107" s="106">
        <v>10320.093856933356</v>
      </c>
      <c r="M107" s="106">
        <v>7598</v>
      </c>
      <c r="N107" s="106">
        <v>7658</v>
      </c>
      <c r="O107" s="106">
        <v>7584</v>
      </c>
      <c r="P107" s="106">
        <v>7562</v>
      </c>
      <c r="Q107" s="106">
        <v>7556</v>
      </c>
      <c r="R107" s="106">
        <v>7564</v>
      </c>
      <c r="S107" s="106">
        <v>7602</v>
      </c>
      <c r="T107" s="106">
        <v>7609</v>
      </c>
      <c r="U107" s="106">
        <v>7599</v>
      </c>
      <c r="V107" s="106">
        <v>7637</v>
      </c>
      <c r="W107" s="106">
        <v>7650</v>
      </c>
      <c r="X107" s="106">
        <v>7747</v>
      </c>
      <c r="Y107" s="106">
        <v>7881</v>
      </c>
      <c r="Z107" s="150">
        <v>7739</v>
      </c>
      <c r="AA107" s="150">
        <v>7611</v>
      </c>
      <c r="AB107" s="150">
        <v>7601</v>
      </c>
      <c r="AC107" s="142"/>
    </row>
    <row r="108" spans="1:29" x14ac:dyDescent="0.2">
      <c r="A108" s="104" t="s">
        <v>582</v>
      </c>
      <c r="B108" s="104">
        <v>11218</v>
      </c>
      <c r="C108" s="104" t="s">
        <v>595</v>
      </c>
      <c r="D108" s="105" t="s">
        <v>889</v>
      </c>
      <c r="E108" s="106">
        <v>5735</v>
      </c>
      <c r="F108" s="106">
        <v>5832</v>
      </c>
      <c r="G108" s="106">
        <v>5954</v>
      </c>
      <c r="H108" s="106">
        <v>6054</v>
      </c>
      <c r="I108" s="106">
        <v>6127</v>
      </c>
      <c r="J108" s="106">
        <v>6193</v>
      </c>
      <c r="K108" s="106">
        <v>6137</v>
      </c>
      <c r="L108" s="106">
        <v>6065</v>
      </c>
      <c r="M108" s="106">
        <v>6065</v>
      </c>
      <c r="N108" s="106">
        <v>6092</v>
      </c>
      <c r="O108" s="106">
        <v>6086</v>
      </c>
      <c r="P108" s="106">
        <v>6121</v>
      </c>
      <c r="Q108" s="106">
        <v>6129</v>
      </c>
      <c r="R108" s="106">
        <v>6127</v>
      </c>
      <c r="S108" s="106">
        <v>6153</v>
      </c>
      <c r="T108" s="106">
        <v>6285</v>
      </c>
      <c r="U108" s="106">
        <v>6340</v>
      </c>
      <c r="V108" s="106">
        <v>6354</v>
      </c>
      <c r="W108" s="106">
        <v>6429</v>
      </c>
      <c r="X108" s="106">
        <v>6445</v>
      </c>
      <c r="Y108" s="106">
        <v>6452</v>
      </c>
      <c r="Z108" s="150">
        <v>6586</v>
      </c>
      <c r="AA108" s="150">
        <v>6602</v>
      </c>
      <c r="AB108" s="150">
        <v>6604</v>
      </c>
      <c r="AC108" s="142"/>
    </row>
    <row r="109" spans="1:29" x14ac:dyDescent="0.2">
      <c r="A109" s="104" t="s">
        <v>582</v>
      </c>
      <c r="B109" s="104">
        <v>11245</v>
      </c>
      <c r="C109" s="104" t="s">
        <v>597</v>
      </c>
      <c r="D109" s="105" t="s">
        <v>889</v>
      </c>
      <c r="E109" s="106">
        <v>7210</v>
      </c>
      <c r="F109" s="106">
        <v>0</v>
      </c>
      <c r="G109" s="106">
        <v>7289</v>
      </c>
      <c r="H109" s="106">
        <v>7187</v>
      </c>
      <c r="I109" s="106">
        <v>0</v>
      </c>
      <c r="J109" s="106">
        <v>0</v>
      </c>
      <c r="K109" s="106">
        <v>7157</v>
      </c>
      <c r="L109" s="106">
        <v>0</v>
      </c>
      <c r="M109" s="106">
        <v>0</v>
      </c>
      <c r="N109" s="106">
        <v>0</v>
      </c>
      <c r="O109" s="106">
        <v>0</v>
      </c>
      <c r="P109" s="106">
        <v>7157</v>
      </c>
      <c r="Q109" s="106">
        <v>7511</v>
      </c>
      <c r="R109" s="106">
        <v>7055</v>
      </c>
      <c r="S109" s="106">
        <v>7241</v>
      </c>
      <c r="T109" s="106">
        <v>34509</v>
      </c>
      <c r="U109" s="106">
        <v>0</v>
      </c>
      <c r="V109" s="106">
        <v>6655</v>
      </c>
      <c r="W109" s="106">
        <v>6535</v>
      </c>
      <c r="X109" s="106">
        <v>6535</v>
      </c>
      <c r="Y109" s="106">
        <v>6504</v>
      </c>
      <c r="Z109" s="150">
        <v>6835</v>
      </c>
      <c r="AA109" s="150">
        <v>6827</v>
      </c>
      <c r="AB109" s="150">
        <v>6835</v>
      </c>
      <c r="AC109" s="142"/>
    </row>
    <row r="110" spans="1:29" x14ac:dyDescent="0.2">
      <c r="A110" s="104" t="s">
        <v>582</v>
      </c>
      <c r="B110" s="104">
        <v>12351</v>
      </c>
      <c r="C110" s="104" t="s">
        <v>599</v>
      </c>
      <c r="D110" s="105" t="s">
        <v>889</v>
      </c>
      <c r="E110" s="106">
        <v>28684</v>
      </c>
      <c r="F110" s="106">
        <v>28794</v>
      </c>
      <c r="G110" s="106">
        <v>28904</v>
      </c>
      <c r="H110" s="106">
        <v>28522</v>
      </c>
      <c r="I110" s="106">
        <v>28832</v>
      </c>
      <c r="J110" s="106">
        <v>30250</v>
      </c>
      <c r="K110" s="106">
        <v>29936</v>
      </c>
      <c r="L110" s="106">
        <v>30319</v>
      </c>
      <c r="M110" s="106">
        <v>31286</v>
      </c>
      <c r="N110" s="106">
        <v>31494</v>
      </c>
      <c r="O110" s="106">
        <v>31533</v>
      </c>
      <c r="P110" s="106">
        <v>33586</v>
      </c>
      <c r="Q110" s="106">
        <v>33558</v>
      </c>
      <c r="R110" s="106">
        <v>33956</v>
      </c>
      <c r="S110" s="106">
        <v>0</v>
      </c>
      <c r="T110" s="106">
        <v>6620</v>
      </c>
      <c r="U110" s="106">
        <v>34620</v>
      </c>
      <c r="V110" s="106">
        <v>36531</v>
      </c>
      <c r="W110" s="106">
        <v>37200</v>
      </c>
      <c r="X110" s="106">
        <v>28227</v>
      </c>
      <c r="Y110" s="106">
        <v>26208</v>
      </c>
      <c r="Z110" s="150">
        <v>26870</v>
      </c>
      <c r="AA110" s="150">
        <v>24479</v>
      </c>
      <c r="AB110" s="150">
        <v>29886</v>
      </c>
      <c r="AC110" s="142"/>
    </row>
    <row r="111" spans="1:29" x14ac:dyDescent="0.2">
      <c r="A111" s="104" t="s">
        <v>582</v>
      </c>
      <c r="B111" s="104">
        <v>20142</v>
      </c>
      <c r="C111" s="104" t="s">
        <v>918</v>
      </c>
      <c r="D111" s="105" t="s">
        <v>889</v>
      </c>
      <c r="E111" s="106">
        <v>0</v>
      </c>
      <c r="F111" s="106">
        <v>0</v>
      </c>
      <c r="G111" s="106">
        <v>0</v>
      </c>
      <c r="H111" s="106">
        <v>201539</v>
      </c>
      <c r="I111" s="106">
        <v>202332</v>
      </c>
      <c r="J111" s="106">
        <v>202618</v>
      </c>
      <c r="K111" s="106">
        <v>203008</v>
      </c>
      <c r="L111" s="106">
        <v>203465</v>
      </c>
      <c r="M111" s="106">
        <v>203262</v>
      </c>
      <c r="N111" s="106">
        <v>214130</v>
      </c>
      <c r="O111" s="106">
        <v>216894</v>
      </c>
      <c r="P111" s="106">
        <v>218461</v>
      </c>
      <c r="Q111" s="106">
        <v>220058</v>
      </c>
      <c r="R111" s="106">
        <v>221809</v>
      </c>
      <c r="S111" s="106">
        <v>224458</v>
      </c>
      <c r="T111" s="106">
        <v>224378</v>
      </c>
      <c r="U111" s="106">
        <v>227025</v>
      </c>
      <c r="V111" s="106">
        <v>227713</v>
      </c>
      <c r="W111" s="106">
        <v>229084</v>
      </c>
      <c r="X111" s="106">
        <v>228540</v>
      </c>
      <c r="Y111" s="106">
        <v>228919</v>
      </c>
      <c r="Z111" s="150">
        <v>235642</v>
      </c>
      <c r="AA111" s="150">
        <v>206030</v>
      </c>
      <c r="AB111" s="150">
        <v>221882</v>
      </c>
      <c r="AC111" s="142"/>
    </row>
    <row r="112" spans="1:29" x14ac:dyDescent="0.2">
      <c r="A112" s="104" t="s">
        <v>582</v>
      </c>
      <c r="B112" s="104">
        <v>20143</v>
      </c>
      <c r="C112" s="104" t="s">
        <v>603</v>
      </c>
      <c r="D112" s="105" t="s">
        <v>889</v>
      </c>
      <c r="E112" s="106">
        <v>124696</v>
      </c>
      <c r="F112" s="106">
        <v>124757</v>
      </c>
      <c r="G112" s="106">
        <v>124733</v>
      </c>
      <c r="H112" s="106">
        <v>124425</v>
      </c>
      <c r="I112" s="106">
        <v>125371</v>
      </c>
      <c r="J112" s="106">
        <v>125824</v>
      </c>
      <c r="K112" s="106">
        <v>126036.14309974763</v>
      </c>
      <c r="L112" s="106">
        <v>126059.35851855346</v>
      </c>
      <c r="M112" s="106">
        <v>125705.46048069438</v>
      </c>
      <c r="N112" s="106">
        <v>125735.07384956483</v>
      </c>
      <c r="O112" s="106">
        <v>123710.43395507746</v>
      </c>
      <c r="P112" s="106">
        <v>121736</v>
      </c>
      <c r="Q112" s="106">
        <v>153722</v>
      </c>
      <c r="R112" s="106">
        <v>153722</v>
      </c>
      <c r="S112" s="106">
        <v>153722</v>
      </c>
      <c r="T112" s="106">
        <v>153286</v>
      </c>
      <c r="U112" s="106">
        <v>154780</v>
      </c>
      <c r="V112" s="106">
        <v>155963</v>
      </c>
      <c r="W112" s="106">
        <v>155268</v>
      </c>
      <c r="X112" s="106">
        <v>157637</v>
      </c>
      <c r="Y112" s="106">
        <v>158243</v>
      </c>
      <c r="Z112" s="150">
        <v>158276</v>
      </c>
      <c r="AA112" s="150">
        <v>158811</v>
      </c>
      <c r="AB112" s="150">
        <v>159675</v>
      </c>
      <c r="AC112" s="142"/>
    </row>
    <row r="113" spans="1:29" x14ac:dyDescent="0.2">
      <c r="A113" s="104" t="s">
        <v>604</v>
      </c>
      <c r="B113" s="104">
        <v>341</v>
      </c>
      <c r="C113" s="104" t="s">
        <v>608</v>
      </c>
      <c r="D113" s="105" t="s">
        <v>880</v>
      </c>
      <c r="E113" s="106">
        <v>6346</v>
      </c>
      <c r="F113" s="106">
        <v>6340</v>
      </c>
      <c r="G113" s="106">
        <v>6333</v>
      </c>
      <c r="H113" s="106">
        <v>6687</v>
      </c>
      <c r="I113" s="106">
        <v>6579</v>
      </c>
      <c r="J113" s="106">
        <v>6741</v>
      </c>
      <c r="K113" s="106">
        <v>6942</v>
      </c>
      <c r="L113" s="106">
        <v>7827</v>
      </c>
      <c r="M113" s="106">
        <v>7874</v>
      </c>
      <c r="N113" s="106">
        <v>7895</v>
      </c>
      <c r="O113" s="106">
        <v>7896</v>
      </c>
      <c r="P113" s="106">
        <v>7945</v>
      </c>
      <c r="Q113" s="106">
        <v>8016</v>
      </c>
      <c r="R113" s="106">
        <v>8144</v>
      </c>
      <c r="S113" s="106">
        <v>8327</v>
      </c>
      <c r="T113" s="106">
        <v>8518</v>
      </c>
      <c r="U113" s="106">
        <v>8695</v>
      </c>
      <c r="V113" s="106">
        <v>8824</v>
      </c>
      <c r="W113" s="106">
        <v>8921</v>
      </c>
      <c r="X113" s="106">
        <v>8926</v>
      </c>
      <c r="Y113" s="106">
        <v>9118</v>
      </c>
      <c r="Z113" s="150">
        <v>9385</v>
      </c>
      <c r="AA113" s="150">
        <v>9513</v>
      </c>
      <c r="AB113" s="150">
        <v>9934</v>
      </c>
      <c r="AC113" s="142"/>
    </row>
    <row r="114" spans="1:29" x14ac:dyDescent="0.2">
      <c r="A114" s="104" t="s">
        <v>604</v>
      </c>
      <c r="B114" s="104">
        <v>645</v>
      </c>
      <c r="C114" s="104" t="s">
        <v>612</v>
      </c>
      <c r="D114" s="105" t="s">
        <v>880</v>
      </c>
      <c r="E114" s="106">
        <v>0</v>
      </c>
      <c r="F114" s="106">
        <v>0</v>
      </c>
      <c r="G114" s="106">
        <v>0</v>
      </c>
      <c r="H114" s="106">
        <v>2180</v>
      </c>
      <c r="I114" s="106">
        <v>2185</v>
      </c>
      <c r="J114" s="106">
        <v>2200</v>
      </c>
      <c r="K114" s="106">
        <v>2202</v>
      </c>
      <c r="L114" s="106">
        <v>2306</v>
      </c>
      <c r="M114" s="106">
        <v>1986</v>
      </c>
      <c r="N114" s="106">
        <v>1969</v>
      </c>
      <c r="O114" s="106">
        <v>1947</v>
      </c>
      <c r="P114" s="106">
        <v>1921</v>
      </c>
      <c r="Q114" s="106">
        <v>2049</v>
      </c>
      <c r="R114" s="106">
        <v>2122</v>
      </c>
      <c r="S114" s="106">
        <v>2178</v>
      </c>
      <c r="T114" s="106">
        <v>2012</v>
      </c>
      <c r="U114" s="106">
        <v>2024</v>
      </c>
      <c r="V114" s="106">
        <v>2027</v>
      </c>
      <c r="W114" s="106">
        <v>2051</v>
      </c>
      <c r="X114" s="106">
        <v>2072</v>
      </c>
      <c r="Y114" s="106">
        <v>1931</v>
      </c>
      <c r="Z114" s="150">
        <v>2135</v>
      </c>
      <c r="AA114" s="150">
        <v>2199</v>
      </c>
      <c r="AB114" s="150">
        <v>2236</v>
      </c>
      <c r="AC114" s="142"/>
    </row>
    <row r="115" spans="1:29" x14ac:dyDescent="0.2">
      <c r="A115" s="104" t="s">
        <v>604</v>
      </c>
      <c r="B115" s="104">
        <v>1616</v>
      </c>
      <c r="C115" s="104" t="s">
        <v>919</v>
      </c>
      <c r="D115" s="105" t="s">
        <v>880</v>
      </c>
      <c r="E115" s="106">
        <v>594</v>
      </c>
      <c r="F115" s="106">
        <v>599</v>
      </c>
      <c r="G115" s="106">
        <v>600</v>
      </c>
      <c r="H115" s="106">
        <v>600</v>
      </c>
      <c r="I115" s="106">
        <v>600</v>
      </c>
      <c r="J115" s="106">
        <v>600</v>
      </c>
      <c r="K115" s="106">
        <v>607</v>
      </c>
      <c r="L115" s="106">
        <v>0</v>
      </c>
      <c r="M115" s="106">
        <v>607</v>
      </c>
      <c r="N115" s="106">
        <v>0</v>
      </c>
      <c r="O115" s="106">
        <v>0</v>
      </c>
      <c r="P115" s="106">
        <v>601</v>
      </c>
      <c r="Q115" s="106">
        <v>604</v>
      </c>
      <c r="R115" s="106">
        <v>601</v>
      </c>
      <c r="S115" s="106">
        <v>601</v>
      </c>
      <c r="T115" s="106">
        <v>601</v>
      </c>
      <c r="U115" s="106" t="s">
        <v>868</v>
      </c>
      <c r="V115" s="106" t="s">
        <v>868</v>
      </c>
      <c r="W115" s="106" t="s">
        <v>868</v>
      </c>
      <c r="X115" s="106" t="s">
        <v>868</v>
      </c>
      <c r="Y115" s="106" t="s">
        <v>868</v>
      </c>
      <c r="Z115" s="150" t="s">
        <v>868</v>
      </c>
      <c r="AA115" s="106" t="s">
        <v>868</v>
      </c>
      <c r="AB115" s="106" t="s">
        <v>868</v>
      </c>
      <c r="AC115" s="142"/>
    </row>
    <row r="116" spans="1:29" x14ac:dyDescent="0.2">
      <c r="A116" s="104" t="s">
        <v>604</v>
      </c>
      <c r="B116" s="104">
        <v>1625</v>
      </c>
      <c r="C116" s="104" t="s">
        <v>920</v>
      </c>
      <c r="D116" s="105" t="s">
        <v>880</v>
      </c>
      <c r="E116" s="106">
        <v>0</v>
      </c>
      <c r="F116" s="106">
        <v>0</v>
      </c>
      <c r="G116" s="106">
        <v>855</v>
      </c>
      <c r="H116" s="106">
        <v>0</v>
      </c>
      <c r="I116" s="106">
        <v>814</v>
      </c>
      <c r="J116" s="106">
        <v>0</v>
      </c>
      <c r="K116" s="106">
        <v>0</v>
      </c>
      <c r="L116" s="106">
        <v>0</v>
      </c>
      <c r="M116" s="106">
        <v>811</v>
      </c>
      <c r="N116" s="106">
        <v>814</v>
      </c>
      <c r="O116" s="106">
        <v>814</v>
      </c>
      <c r="P116" s="106">
        <v>814</v>
      </c>
      <c r="Q116" s="106">
        <v>814</v>
      </c>
      <c r="R116" s="106">
        <v>814</v>
      </c>
      <c r="S116" s="106">
        <v>814</v>
      </c>
      <c r="T116" s="106">
        <v>814</v>
      </c>
      <c r="U116" s="106">
        <v>814</v>
      </c>
      <c r="V116" s="106">
        <v>814</v>
      </c>
      <c r="W116" s="106">
        <v>814</v>
      </c>
      <c r="X116" s="106">
        <v>814</v>
      </c>
      <c r="Y116" s="106">
        <v>814</v>
      </c>
      <c r="Z116" s="150">
        <v>814</v>
      </c>
      <c r="AA116" s="150">
        <v>814</v>
      </c>
      <c r="AB116" s="150">
        <v>814</v>
      </c>
      <c r="AC116" s="142"/>
    </row>
    <row r="117" spans="1:29" x14ac:dyDescent="0.2">
      <c r="A117" s="104" t="s">
        <v>604</v>
      </c>
      <c r="B117" s="104">
        <v>2332</v>
      </c>
      <c r="C117" s="104" t="s">
        <v>620</v>
      </c>
      <c r="D117" s="105" t="s">
        <v>880</v>
      </c>
      <c r="E117" s="106">
        <v>672</v>
      </c>
      <c r="F117" s="106">
        <v>677</v>
      </c>
      <c r="G117" s="106">
        <v>692</v>
      </c>
      <c r="H117" s="106">
        <v>623</v>
      </c>
      <c r="I117" s="106">
        <v>572</v>
      </c>
      <c r="J117" s="106">
        <v>521</v>
      </c>
      <c r="K117" s="106">
        <v>702</v>
      </c>
      <c r="L117" s="106">
        <v>706</v>
      </c>
      <c r="M117" s="106">
        <v>653</v>
      </c>
      <c r="N117" s="106">
        <v>717</v>
      </c>
      <c r="O117" s="106">
        <v>714</v>
      </c>
      <c r="P117" s="106">
        <v>716</v>
      </c>
      <c r="Q117" s="106">
        <v>716</v>
      </c>
      <c r="R117" s="106">
        <v>714</v>
      </c>
      <c r="S117" s="106">
        <v>725</v>
      </c>
      <c r="T117" s="106">
        <v>725</v>
      </c>
      <c r="U117" s="106">
        <v>730</v>
      </c>
      <c r="V117" s="106">
        <v>760</v>
      </c>
      <c r="W117" s="106">
        <v>706</v>
      </c>
      <c r="X117" s="106">
        <v>822</v>
      </c>
      <c r="Y117" s="106">
        <v>778</v>
      </c>
      <c r="Z117" s="150">
        <v>817</v>
      </c>
      <c r="AA117" s="150">
        <v>836</v>
      </c>
      <c r="AB117" s="150">
        <v>997</v>
      </c>
      <c r="AC117" s="142"/>
    </row>
    <row r="118" spans="1:29" x14ac:dyDescent="0.2">
      <c r="A118" s="104" t="s">
        <v>604</v>
      </c>
      <c r="B118" s="104">
        <v>3415</v>
      </c>
      <c r="C118" s="104" t="s">
        <v>921</v>
      </c>
      <c r="D118" s="105" t="s">
        <v>880</v>
      </c>
      <c r="E118" s="106">
        <v>0</v>
      </c>
      <c r="F118" s="106">
        <v>0</v>
      </c>
      <c r="G118" s="106">
        <v>0</v>
      </c>
      <c r="H118" s="106">
        <v>0</v>
      </c>
      <c r="I118" s="106">
        <v>0</v>
      </c>
      <c r="J118" s="106">
        <v>0</v>
      </c>
      <c r="K118" s="106">
        <v>566</v>
      </c>
      <c r="L118" s="106">
        <v>0</v>
      </c>
      <c r="M118" s="106">
        <v>581</v>
      </c>
      <c r="N118" s="106">
        <v>566</v>
      </c>
      <c r="O118" s="106">
        <v>566</v>
      </c>
      <c r="P118" s="106">
        <v>496</v>
      </c>
      <c r="Q118" s="106">
        <v>496</v>
      </c>
      <c r="R118" s="106">
        <v>496</v>
      </c>
      <c r="S118" s="106">
        <v>497</v>
      </c>
      <c r="T118" s="106">
        <v>505</v>
      </c>
      <c r="U118" s="106">
        <v>505</v>
      </c>
      <c r="V118" s="106">
        <v>505</v>
      </c>
      <c r="W118" s="106">
        <v>505</v>
      </c>
      <c r="X118" s="106">
        <v>505</v>
      </c>
      <c r="Y118" s="106" t="s">
        <v>868</v>
      </c>
      <c r="Z118" s="150" t="s">
        <v>868</v>
      </c>
      <c r="AA118" s="106" t="s">
        <v>868</v>
      </c>
      <c r="AB118" s="106" t="s">
        <v>868</v>
      </c>
      <c r="AC118" s="142"/>
    </row>
    <row r="119" spans="1:29" x14ac:dyDescent="0.2">
      <c r="A119" s="104" t="s">
        <v>604</v>
      </c>
      <c r="B119" s="104">
        <v>4005</v>
      </c>
      <c r="C119" s="104" t="s">
        <v>922</v>
      </c>
      <c r="D119" s="105" t="s">
        <v>880</v>
      </c>
      <c r="E119" s="106">
        <v>985</v>
      </c>
      <c r="F119" s="106">
        <v>913</v>
      </c>
      <c r="G119" s="106">
        <v>924</v>
      </c>
      <c r="H119" s="106">
        <v>0</v>
      </c>
      <c r="I119" s="106">
        <v>0</v>
      </c>
      <c r="J119" s="106">
        <v>972</v>
      </c>
      <c r="K119" s="106">
        <v>968</v>
      </c>
      <c r="L119" s="106">
        <v>780</v>
      </c>
      <c r="M119" s="106">
        <v>925</v>
      </c>
      <c r="N119" s="106">
        <v>1000</v>
      </c>
      <c r="O119" s="106">
        <v>1000</v>
      </c>
      <c r="P119" s="106">
        <v>1000</v>
      </c>
      <c r="Q119" s="106">
        <v>1011</v>
      </c>
      <c r="R119" s="106">
        <v>1011</v>
      </c>
      <c r="S119" s="106">
        <v>1011</v>
      </c>
      <c r="T119" s="106">
        <v>1011</v>
      </c>
      <c r="U119" s="106">
        <v>1011</v>
      </c>
      <c r="V119" s="106">
        <v>1011</v>
      </c>
      <c r="W119" s="106">
        <v>1011</v>
      </c>
      <c r="X119" s="106">
        <v>1015</v>
      </c>
      <c r="Y119" s="106">
        <v>1018</v>
      </c>
      <c r="Z119" s="150">
        <v>1057</v>
      </c>
      <c r="AA119" s="150">
        <v>1065</v>
      </c>
      <c r="AB119" s="150">
        <v>1076</v>
      </c>
      <c r="AC119" s="142"/>
    </row>
    <row r="120" spans="1:29" x14ac:dyDescent="0.2">
      <c r="A120" s="104" t="s">
        <v>604</v>
      </c>
      <c r="B120" s="104">
        <v>4607</v>
      </c>
      <c r="C120" s="104" t="s">
        <v>633</v>
      </c>
      <c r="D120" s="105" t="s">
        <v>880</v>
      </c>
      <c r="E120" s="106">
        <v>20028</v>
      </c>
      <c r="F120" s="106">
        <v>0</v>
      </c>
      <c r="G120" s="106">
        <v>20445</v>
      </c>
      <c r="H120" s="106">
        <v>20808</v>
      </c>
      <c r="I120" s="106">
        <v>0</v>
      </c>
      <c r="J120" s="106">
        <v>25144</v>
      </c>
      <c r="K120" s="106">
        <v>26680</v>
      </c>
      <c r="L120" s="106">
        <v>33834</v>
      </c>
      <c r="M120" s="106">
        <v>34057</v>
      </c>
      <c r="N120" s="106">
        <v>31865</v>
      </c>
      <c r="O120" s="106">
        <v>32120</v>
      </c>
      <c r="P120" s="106">
        <v>27773</v>
      </c>
      <c r="Q120" s="106">
        <v>27836</v>
      </c>
      <c r="R120" s="106">
        <v>32685</v>
      </c>
      <c r="S120" s="106">
        <v>32182</v>
      </c>
      <c r="T120" s="106">
        <v>32895</v>
      </c>
      <c r="U120" s="106">
        <v>33546</v>
      </c>
      <c r="V120" s="106">
        <v>34453</v>
      </c>
      <c r="W120" s="106">
        <v>33845</v>
      </c>
      <c r="X120" s="106">
        <v>34686</v>
      </c>
      <c r="Y120" s="106">
        <v>35605</v>
      </c>
      <c r="Z120" s="150">
        <v>33787</v>
      </c>
      <c r="AA120" s="150">
        <v>35228</v>
      </c>
      <c r="AB120" s="150">
        <v>34701</v>
      </c>
      <c r="AC120" s="142"/>
    </row>
    <row r="121" spans="1:29" x14ac:dyDescent="0.2">
      <c r="A121" s="104" t="s">
        <v>604</v>
      </c>
      <c r="B121" s="104">
        <v>4658</v>
      </c>
      <c r="C121" s="104" t="s">
        <v>635</v>
      </c>
      <c r="D121" s="105" t="s">
        <v>880</v>
      </c>
      <c r="E121" s="106">
        <v>0</v>
      </c>
      <c r="F121" s="106">
        <v>0</v>
      </c>
      <c r="G121" s="106">
        <v>0</v>
      </c>
      <c r="H121" s="106">
        <v>15538</v>
      </c>
      <c r="I121" s="106">
        <v>0</v>
      </c>
      <c r="J121" s="106">
        <v>8389</v>
      </c>
      <c r="K121" s="106">
        <v>8522</v>
      </c>
      <c r="L121" s="106">
        <v>8841</v>
      </c>
      <c r="M121" s="106">
        <v>8705</v>
      </c>
      <c r="N121" s="106">
        <v>0</v>
      </c>
      <c r="O121" s="106">
        <v>8538</v>
      </c>
      <c r="P121" s="106">
        <v>8609</v>
      </c>
      <c r="Q121" s="106">
        <v>8551</v>
      </c>
      <c r="R121" s="106">
        <v>8618</v>
      </c>
      <c r="S121" s="106">
        <v>8618</v>
      </c>
      <c r="T121" s="106">
        <v>8915</v>
      </c>
      <c r="U121" s="106">
        <v>8987</v>
      </c>
      <c r="V121" s="106">
        <v>9150</v>
      </c>
      <c r="W121" s="106">
        <v>9162</v>
      </c>
      <c r="X121" s="106">
        <v>9298</v>
      </c>
      <c r="Y121" s="106">
        <v>9371</v>
      </c>
      <c r="Z121" s="150">
        <v>10617</v>
      </c>
      <c r="AA121" s="150">
        <v>10687</v>
      </c>
      <c r="AB121" s="150">
        <v>10677</v>
      </c>
      <c r="AC121" s="142"/>
    </row>
    <row r="122" spans="1:29" x14ac:dyDescent="0.2">
      <c r="A122" s="104" t="s">
        <v>604</v>
      </c>
      <c r="B122" s="104">
        <v>4912</v>
      </c>
      <c r="C122" s="104" t="s">
        <v>923</v>
      </c>
      <c r="D122" s="105" t="s">
        <v>880</v>
      </c>
      <c r="E122" s="106">
        <v>62571.22</v>
      </c>
      <c r="F122" s="106">
        <v>62379.619999999995</v>
      </c>
      <c r="G122" s="106">
        <v>62686.559999999998</v>
      </c>
      <c r="H122" s="106">
        <v>60427</v>
      </c>
      <c r="I122" s="106">
        <v>61626</v>
      </c>
      <c r="J122" s="106">
        <v>62554</v>
      </c>
      <c r="K122" s="106">
        <v>63990</v>
      </c>
      <c r="L122" s="106">
        <v>74559</v>
      </c>
      <c r="M122" s="106">
        <v>66701</v>
      </c>
      <c r="N122" s="106">
        <v>66598</v>
      </c>
      <c r="O122" s="106">
        <v>65993</v>
      </c>
      <c r="P122" s="106">
        <v>66040</v>
      </c>
      <c r="Q122" s="106">
        <v>66692</v>
      </c>
      <c r="R122" s="106">
        <v>66617</v>
      </c>
      <c r="S122" s="106">
        <v>65578</v>
      </c>
      <c r="T122" s="106">
        <v>66643</v>
      </c>
      <c r="U122" s="106">
        <v>67145</v>
      </c>
      <c r="V122" s="106">
        <v>68714</v>
      </c>
      <c r="W122" s="106">
        <v>69528</v>
      </c>
      <c r="X122" s="106">
        <v>70841</v>
      </c>
      <c r="Y122" s="106">
        <v>70999</v>
      </c>
      <c r="Z122" s="150">
        <v>71790</v>
      </c>
      <c r="AA122" s="150">
        <v>74326</v>
      </c>
      <c r="AB122" s="150">
        <v>75106</v>
      </c>
      <c r="AC122" s="142"/>
    </row>
    <row r="123" spans="1:29" x14ac:dyDescent="0.2">
      <c r="A123" s="104" t="s">
        <v>604</v>
      </c>
      <c r="B123" s="104">
        <v>21107</v>
      </c>
      <c r="C123" s="104" t="s">
        <v>924</v>
      </c>
      <c r="D123" s="105" t="s">
        <v>880</v>
      </c>
      <c r="E123" s="106">
        <v>1524</v>
      </c>
      <c r="F123" s="106">
        <v>1414</v>
      </c>
      <c r="G123" s="106">
        <v>1098</v>
      </c>
      <c r="H123" s="106">
        <v>1098</v>
      </c>
      <c r="I123" s="106">
        <v>1098</v>
      </c>
      <c r="J123" s="106">
        <v>1099</v>
      </c>
      <c r="K123" s="106">
        <v>1101</v>
      </c>
      <c r="L123" s="106">
        <v>1098</v>
      </c>
      <c r="M123" s="106">
        <v>1111</v>
      </c>
      <c r="N123" s="106">
        <v>1190</v>
      </c>
      <c r="O123" s="106">
        <v>0</v>
      </c>
      <c r="P123" s="106">
        <v>843</v>
      </c>
      <c r="Q123" s="106">
        <v>1229</v>
      </c>
      <c r="R123" s="106">
        <v>1446</v>
      </c>
      <c r="S123" s="106">
        <v>1229</v>
      </c>
      <c r="T123" s="106">
        <v>1229</v>
      </c>
      <c r="U123" s="106">
        <v>1229</v>
      </c>
      <c r="V123" s="106">
        <v>1229</v>
      </c>
      <c r="W123" s="106">
        <v>1229</v>
      </c>
      <c r="X123" s="106">
        <v>1229</v>
      </c>
      <c r="Y123" s="106">
        <v>1229</v>
      </c>
      <c r="Z123" s="150">
        <v>1229</v>
      </c>
      <c r="AA123" s="150">
        <v>1120</v>
      </c>
      <c r="AB123" s="150">
        <v>1159</v>
      </c>
      <c r="AC123" s="142"/>
    </row>
    <row r="124" spans="1:29" x14ac:dyDescent="0.2">
      <c r="A124" s="104" t="s">
        <v>604</v>
      </c>
      <c r="B124" s="104">
        <v>5750</v>
      </c>
      <c r="C124" s="104" t="s">
        <v>641</v>
      </c>
      <c r="D124" s="105" t="s">
        <v>880</v>
      </c>
      <c r="E124" s="106">
        <v>0</v>
      </c>
      <c r="F124" s="106">
        <v>0</v>
      </c>
      <c r="G124" s="106">
        <v>0</v>
      </c>
      <c r="H124" s="106">
        <v>0</v>
      </c>
      <c r="I124" s="106">
        <v>0</v>
      </c>
      <c r="J124" s="106">
        <v>0</v>
      </c>
      <c r="K124" s="106">
        <v>1519</v>
      </c>
      <c r="L124" s="106">
        <v>0</v>
      </c>
      <c r="M124" s="106">
        <v>1894</v>
      </c>
      <c r="N124" s="106">
        <v>1861</v>
      </c>
      <c r="O124" s="106">
        <v>1910</v>
      </c>
      <c r="P124" s="106">
        <v>1909</v>
      </c>
      <c r="Q124" s="106">
        <v>1923</v>
      </c>
      <c r="R124" s="106">
        <v>2052</v>
      </c>
      <c r="S124" s="106">
        <v>2249</v>
      </c>
      <c r="T124" s="106">
        <v>2293</v>
      </c>
      <c r="U124" s="106">
        <v>2590</v>
      </c>
      <c r="V124" s="106">
        <v>3144</v>
      </c>
      <c r="W124" s="106">
        <v>3521</v>
      </c>
      <c r="X124" s="106">
        <v>3951</v>
      </c>
      <c r="Y124" s="106">
        <v>4204</v>
      </c>
      <c r="Z124" s="150">
        <v>4940</v>
      </c>
      <c r="AA124" s="150">
        <v>5306</v>
      </c>
      <c r="AB124" s="150">
        <v>5683</v>
      </c>
      <c r="AC124" s="142"/>
    </row>
    <row r="125" spans="1:29" x14ac:dyDescent="0.2">
      <c r="A125" s="104" t="s">
        <v>604</v>
      </c>
      <c r="B125" s="104">
        <v>5868</v>
      </c>
      <c r="C125" s="104" t="s">
        <v>642</v>
      </c>
      <c r="D125" s="105" t="s">
        <v>880</v>
      </c>
      <c r="E125" s="106">
        <v>0</v>
      </c>
      <c r="F125" s="106">
        <v>0</v>
      </c>
      <c r="G125" s="106">
        <v>0</v>
      </c>
      <c r="H125" s="106">
        <v>0</v>
      </c>
      <c r="I125" s="106">
        <v>0</v>
      </c>
      <c r="J125" s="106">
        <v>0</v>
      </c>
      <c r="K125" s="106">
        <v>0</v>
      </c>
      <c r="L125" s="106">
        <v>0</v>
      </c>
      <c r="M125" s="106">
        <v>0</v>
      </c>
      <c r="N125" s="106">
        <v>0</v>
      </c>
      <c r="O125" s="106">
        <v>0</v>
      </c>
      <c r="P125" s="106">
        <v>0</v>
      </c>
      <c r="Q125" s="106">
        <v>0</v>
      </c>
      <c r="R125" s="106">
        <v>0</v>
      </c>
      <c r="S125" s="106">
        <v>0</v>
      </c>
      <c r="T125" s="106">
        <v>0</v>
      </c>
      <c r="U125" s="106">
        <v>0</v>
      </c>
      <c r="V125" s="106">
        <v>499</v>
      </c>
      <c r="W125" s="106" t="s">
        <v>868</v>
      </c>
      <c r="X125" s="106">
        <v>499</v>
      </c>
      <c r="Y125" s="106">
        <v>499</v>
      </c>
      <c r="Z125" s="150">
        <v>499</v>
      </c>
      <c r="AA125" s="150">
        <v>499</v>
      </c>
      <c r="AB125" s="150">
        <v>499</v>
      </c>
      <c r="AC125" s="142"/>
    </row>
    <row r="126" spans="1:29" x14ac:dyDescent="0.2">
      <c r="A126" s="104" t="s">
        <v>604</v>
      </c>
      <c r="B126" s="104">
        <v>5870</v>
      </c>
      <c r="C126" s="104" t="s">
        <v>644</v>
      </c>
      <c r="D126" s="105" t="s">
        <v>880</v>
      </c>
      <c r="E126" s="106">
        <v>1274</v>
      </c>
      <c r="F126" s="106">
        <v>1298</v>
      </c>
      <c r="G126" s="106">
        <v>1322</v>
      </c>
      <c r="H126" s="106">
        <v>1342</v>
      </c>
      <c r="I126" s="106">
        <v>1409</v>
      </c>
      <c r="J126" s="106">
        <v>1426</v>
      </c>
      <c r="K126" s="106">
        <v>1365</v>
      </c>
      <c r="L126" s="106">
        <v>1368</v>
      </c>
      <c r="M126" s="106">
        <v>1366</v>
      </c>
      <c r="N126" s="106">
        <v>1397</v>
      </c>
      <c r="O126" s="106">
        <v>1387</v>
      </c>
      <c r="P126" s="106">
        <v>1379</v>
      </c>
      <c r="Q126" s="106">
        <v>1459</v>
      </c>
      <c r="R126" s="106">
        <v>1450</v>
      </c>
      <c r="S126" s="106">
        <v>1455</v>
      </c>
      <c r="T126" s="106">
        <v>1455</v>
      </c>
      <c r="U126" s="106">
        <v>1457</v>
      </c>
      <c r="V126" s="106">
        <v>1424</v>
      </c>
      <c r="W126" s="106">
        <v>1426</v>
      </c>
      <c r="X126" s="106">
        <v>1602</v>
      </c>
      <c r="Y126" s="106">
        <v>1634</v>
      </c>
      <c r="Z126" s="150">
        <v>1650</v>
      </c>
      <c r="AA126" s="150">
        <v>1694</v>
      </c>
      <c r="AB126" s="150">
        <v>1716</v>
      </c>
      <c r="AC126" s="142"/>
    </row>
    <row r="127" spans="1:29" x14ac:dyDescent="0.2">
      <c r="A127" s="104" t="s">
        <v>604</v>
      </c>
      <c r="B127" s="104">
        <v>5893</v>
      </c>
      <c r="C127" s="104" t="s">
        <v>925</v>
      </c>
      <c r="D127" s="105" t="s">
        <v>880</v>
      </c>
      <c r="E127" s="106">
        <v>1318</v>
      </c>
      <c r="F127" s="106">
        <v>0</v>
      </c>
      <c r="G127" s="106">
        <v>1152</v>
      </c>
      <c r="H127" s="106">
        <v>0</v>
      </c>
      <c r="I127" s="106">
        <v>0</v>
      </c>
      <c r="J127" s="106">
        <v>0</v>
      </c>
      <c r="K127" s="106">
        <v>0</v>
      </c>
      <c r="L127" s="106">
        <v>1213</v>
      </c>
      <c r="M127" s="106">
        <v>1578</v>
      </c>
      <c r="N127" s="106">
        <v>0</v>
      </c>
      <c r="O127" s="106">
        <v>0</v>
      </c>
      <c r="P127" s="106">
        <v>2031</v>
      </c>
      <c r="Q127" s="106">
        <v>1738</v>
      </c>
      <c r="R127" s="106">
        <v>2211</v>
      </c>
      <c r="S127" s="106">
        <v>2143</v>
      </c>
      <c r="T127" s="106">
        <v>2143</v>
      </c>
      <c r="U127" s="106">
        <v>1951</v>
      </c>
      <c r="V127" s="106">
        <v>2196</v>
      </c>
      <c r="W127" s="106">
        <v>2196</v>
      </c>
      <c r="X127" s="106">
        <v>2196</v>
      </c>
      <c r="Y127" s="106">
        <v>2299</v>
      </c>
      <c r="Z127" s="150">
        <v>2804</v>
      </c>
      <c r="AA127" s="150">
        <v>2541</v>
      </c>
      <c r="AB127" s="150">
        <v>2587</v>
      </c>
      <c r="AC127" s="142"/>
    </row>
    <row r="128" spans="1:29" x14ac:dyDescent="0.2">
      <c r="A128" s="104" t="s">
        <v>604</v>
      </c>
      <c r="B128" s="104">
        <v>6124</v>
      </c>
      <c r="C128" s="104" t="s">
        <v>648</v>
      </c>
      <c r="D128" s="105" t="s">
        <v>880</v>
      </c>
      <c r="E128" s="106">
        <v>1543</v>
      </c>
      <c r="F128" s="106">
        <v>1595</v>
      </c>
      <c r="G128" s="106">
        <v>1647</v>
      </c>
      <c r="H128" s="106">
        <v>1738</v>
      </c>
      <c r="I128" s="106">
        <v>1765</v>
      </c>
      <c r="J128" s="106">
        <v>1969</v>
      </c>
      <c r="K128" s="106">
        <v>1979</v>
      </c>
      <c r="L128" s="106">
        <v>2001</v>
      </c>
      <c r="M128" s="106">
        <v>2001</v>
      </c>
      <c r="N128" s="106">
        <v>1634</v>
      </c>
      <c r="O128" s="106">
        <v>1711</v>
      </c>
      <c r="P128" s="106">
        <v>1924</v>
      </c>
      <c r="Q128" s="106">
        <v>2160</v>
      </c>
      <c r="R128" s="106">
        <v>2043</v>
      </c>
      <c r="S128" s="106">
        <v>1901</v>
      </c>
      <c r="T128" s="106">
        <v>1901</v>
      </c>
      <c r="U128" s="106">
        <v>1786</v>
      </c>
      <c r="V128" s="106">
        <v>1902</v>
      </c>
      <c r="W128" s="106">
        <v>1791</v>
      </c>
      <c r="X128" s="106">
        <v>1846</v>
      </c>
      <c r="Y128" s="106">
        <v>1859</v>
      </c>
      <c r="Z128" s="150">
        <v>1888</v>
      </c>
      <c r="AA128" s="150">
        <v>1966</v>
      </c>
      <c r="AB128" s="150">
        <v>2011</v>
      </c>
      <c r="AC128" s="142"/>
    </row>
    <row r="129" spans="1:29" x14ac:dyDescent="0.2">
      <c r="A129" s="104" t="s">
        <v>604</v>
      </c>
      <c r="B129" s="104">
        <v>6174</v>
      </c>
      <c r="C129" s="104" t="s">
        <v>926</v>
      </c>
      <c r="D129" s="105" t="s">
        <v>880</v>
      </c>
      <c r="E129" s="106">
        <v>0</v>
      </c>
      <c r="F129" s="106">
        <v>0</v>
      </c>
      <c r="G129" s="106">
        <v>0</v>
      </c>
      <c r="H129" s="106">
        <v>0</v>
      </c>
      <c r="I129" s="106">
        <v>0</v>
      </c>
      <c r="J129" s="106">
        <v>0</v>
      </c>
      <c r="K129" s="106">
        <v>795</v>
      </c>
      <c r="L129" s="106">
        <v>795</v>
      </c>
      <c r="M129" s="106">
        <v>785</v>
      </c>
      <c r="N129" s="106">
        <v>0</v>
      </c>
      <c r="O129" s="106">
        <v>795</v>
      </c>
      <c r="P129" s="106">
        <v>795</v>
      </c>
      <c r="Q129" s="106">
        <v>795</v>
      </c>
      <c r="R129" s="106">
        <v>795</v>
      </c>
      <c r="S129" s="106">
        <v>795</v>
      </c>
      <c r="T129" s="106">
        <v>806</v>
      </c>
      <c r="U129" s="106">
        <v>795</v>
      </c>
      <c r="V129" s="106">
        <v>795</v>
      </c>
      <c r="W129" s="106">
        <v>795</v>
      </c>
      <c r="X129" s="106">
        <v>795</v>
      </c>
      <c r="Y129" s="106">
        <v>795</v>
      </c>
      <c r="Z129" s="150">
        <v>795</v>
      </c>
      <c r="AA129" s="150">
        <v>795</v>
      </c>
      <c r="AB129" s="150">
        <v>795</v>
      </c>
      <c r="AC129" s="142"/>
    </row>
    <row r="130" spans="1:29" x14ac:dyDescent="0.2">
      <c r="A130" s="104" t="s">
        <v>604</v>
      </c>
      <c r="B130" s="104">
        <v>6505</v>
      </c>
      <c r="C130" s="104" t="s">
        <v>927</v>
      </c>
      <c r="D130" s="105" t="s">
        <v>880</v>
      </c>
      <c r="E130" s="106">
        <v>8830</v>
      </c>
      <c r="F130" s="106">
        <v>0</v>
      </c>
      <c r="G130" s="106">
        <v>8173</v>
      </c>
      <c r="H130" s="106">
        <v>8741</v>
      </c>
      <c r="I130" s="106">
        <v>0</v>
      </c>
      <c r="J130" s="106">
        <v>0</v>
      </c>
      <c r="K130" s="106">
        <v>10086</v>
      </c>
      <c r="L130" s="106">
        <v>11121</v>
      </c>
      <c r="M130" s="106">
        <v>11512</v>
      </c>
      <c r="N130" s="106">
        <v>0</v>
      </c>
      <c r="O130" s="106">
        <v>11512</v>
      </c>
      <c r="P130" s="106">
        <v>11683</v>
      </c>
      <c r="Q130" s="106">
        <v>11683</v>
      </c>
      <c r="R130" s="106">
        <v>11847</v>
      </c>
      <c r="S130" s="106">
        <v>11955</v>
      </c>
      <c r="T130" s="106">
        <v>11955</v>
      </c>
      <c r="U130" s="106">
        <v>12121</v>
      </c>
      <c r="V130" s="106">
        <v>12212</v>
      </c>
      <c r="W130" s="106">
        <v>12286</v>
      </c>
      <c r="X130" s="106">
        <v>12447</v>
      </c>
      <c r="Y130" s="106">
        <v>12686</v>
      </c>
      <c r="Z130" s="150">
        <v>13015</v>
      </c>
      <c r="AA130" s="150">
        <v>13322</v>
      </c>
      <c r="AB130" s="150">
        <v>13347</v>
      </c>
      <c r="AC130" s="142"/>
    </row>
    <row r="131" spans="1:29" x14ac:dyDescent="0.2">
      <c r="A131" s="104" t="s">
        <v>604</v>
      </c>
      <c r="B131" s="104">
        <v>6506</v>
      </c>
      <c r="C131" s="104" t="s">
        <v>927</v>
      </c>
      <c r="D131" s="105" t="s">
        <v>880</v>
      </c>
      <c r="E131" s="106">
        <v>8828</v>
      </c>
      <c r="F131" s="106">
        <v>0</v>
      </c>
      <c r="G131" s="106">
        <v>9679</v>
      </c>
      <c r="H131" s="106">
        <v>10237</v>
      </c>
      <c r="I131" s="106">
        <v>0</v>
      </c>
      <c r="J131" s="106">
        <v>0</v>
      </c>
      <c r="K131" s="106">
        <v>9872</v>
      </c>
      <c r="L131" s="106">
        <v>12715</v>
      </c>
      <c r="M131" s="106">
        <v>12668</v>
      </c>
      <c r="N131" s="106">
        <v>0</v>
      </c>
      <c r="O131" s="106">
        <v>13782</v>
      </c>
      <c r="P131" s="106">
        <v>13939</v>
      </c>
      <c r="Q131" s="106">
        <v>14128</v>
      </c>
      <c r="R131" s="106">
        <v>14282</v>
      </c>
      <c r="S131" s="106">
        <v>14445</v>
      </c>
      <c r="T131" s="106">
        <v>14445</v>
      </c>
      <c r="U131" s="106">
        <v>14855</v>
      </c>
      <c r="V131" s="106">
        <v>15110</v>
      </c>
      <c r="W131" s="106">
        <v>15988</v>
      </c>
      <c r="X131" s="106">
        <v>15809</v>
      </c>
      <c r="Y131" s="106">
        <v>16220</v>
      </c>
      <c r="Z131" s="150">
        <v>16500</v>
      </c>
      <c r="AA131" s="150">
        <v>16253</v>
      </c>
      <c r="AB131" s="150">
        <v>16567</v>
      </c>
      <c r="AC131" s="142"/>
    </row>
    <row r="132" spans="1:29" x14ac:dyDescent="0.2">
      <c r="A132" s="104" t="s">
        <v>604</v>
      </c>
      <c r="B132" s="104">
        <v>6507</v>
      </c>
      <c r="C132" s="104" t="s">
        <v>927</v>
      </c>
      <c r="D132" s="105" t="s">
        <v>880</v>
      </c>
      <c r="E132" s="106">
        <v>4060</v>
      </c>
      <c r="F132" s="106">
        <v>0</v>
      </c>
      <c r="G132" s="106">
        <v>4594</v>
      </c>
      <c r="H132" s="106">
        <v>4460</v>
      </c>
      <c r="I132" s="106">
        <v>0</v>
      </c>
      <c r="J132" s="106">
        <v>0</v>
      </c>
      <c r="K132" s="106">
        <v>6155</v>
      </c>
      <c r="L132" s="106">
        <v>5308</v>
      </c>
      <c r="M132" s="106">
        <v>4488</v>
      </c>
      <c r="N132" s="106">
        <v>4956</v>
      </c>
      <c r="O132" s="106">
        <v>4963</v>
      </c>
      <c r="P132" s="106">
        <v>4980</v>
      </c>
      <c r="Q132" s="106">
        <v>4999</v>
      </c>
      <c r="R132" s="106">
        <v>5021</v>
      </c>
      <c r="S132" s="106">
        <v>5049</v>
      </c>
      <c r="T132" s="106">
        <v>5049</v>
      </c>
      <c r="U132" s="106">
        <v>5086</v>
      </c>
      <c r="V132" s="106">
        <v>5175</v>
      </c>
      <c r="W132" s="106">
        <v>5243</v>
      </c>
      <c r="X132" s="106">
        <v>5331</v>
      </c>
      <c r="Y132" s="106">
        <v>5331</v>
      </c>
      <c r="Z132" s="150">
        <v>5494</v>
      </c>
      <c r="AA132" s="150">
        <v>5494</v>
      </c>
      <c r="AB132" s="150">
        <v>5867</v>
      </c>
      <c r="AC132" s="142"/>
    </row>
    <row r="133" spans="1:29" x14ac:dyDescent="0.2">
      <c r="A133" s="104" t="s">
        <v>604</v>
      </c>
      <c r="B133" s="104">
        <v>6508</v>
      </c>
      <c r="C133" s="104" t="s">
        <v>927</v>
      </c>
      <c r="D133" s="105" t="s">
        <v>880</v>
      </c>
      <c r="E133" s="106">
        <v>1462</v>
      </c>
      <c r="F133" s="106">
        <v>1379</v>
      </c>
      <c r="G133" s="106">
        <v>1433</v>
      </c>
      <c r="H133" s="106">
        <v>1472</v>
      </c>
      <c r="I133" s="106">
        <v>0</v>
      </c>
      <c r="J133" s="106">
        <v>0</v>
      </c>
      <c r="K133" s="106">
        <v>1552</v>
      </c>
      <c r="L133" s="106">
        <v>0</v>
      </c>
      <c r="M133" s="106">
        <v>1577</v>
      </c>
      <c r="N133" s="106">
        <v>1582</v>
      </c>
      <c r="O133" s="106">
        <v>1591</v>
      </c>
      <c r="P133" s="106">
        <v>1593</v>
      </c>
      <c r="Q133" s="106">
        <v>1594</v>
      </c>
      <c r="R133" s="106">
        <v>1597</v>
      </c>
      <c r="S133" s="106">
        <v>1600</v>
      </c>
      <c r="T133" s="106">
        <v>1600</v>
      </c>
      <c r="U133" s="106">
        <v>1598</v>
      </c>
      <c r="V133" s="106">
        <v>1603</v>
      </c>
      <c r="W133" s="106">
        <v>1611</v>
      </c>
      <c r="X133" s="106">
        <v>1615</v>
      </c>
      <c r="Y133" s="106">
        <v>1619</v>
      </c>
      <c r="Z133" s="150">
        <v>1624</v>
      </c>
      <c r="AA133" s="150">
        <v>1627</v>
      </c>
      <c r="AB133" s="150">
        <v>1651</v>
      </c>
      <c r="AC133" s="142"/>
    </row>
    <row r="134" spans="1:29" x14ac:dyDescent="0.2">
      <c r="A134" s="104" t="s">
        <v>604</v>
      </c>
      <c r="B134" s="104">
        <v>6509</v>
      </c>
      <c r="C134" s="104" t="s">
        <v>927</v>
      </c>
      <c r="D134" s="105" t="s">
        <v>880</v>
      </c>
      <c r="E134" s="106">
        <v>9068</v>
      </c>
      <c r="F134" s="106">
        <v>0</v>
      </c>
      <c r="G134" s="106">
        <v>11715</v>
      </c>
      <c r="H134" s="106">
        <v>13478</v>
      </c>
      <c r="I134" s="106">
        <v>0</v>
      </c>
      <c r="J134" s="106">
        <v>17938.565999999999</v>
      </c>
      <c r="K134" s="106">
        <v>21397</v>
      </c>
      <c r="L134" s="106">
        <v>0</v>
      </c>
      <c r="M134" s="106">
        <v>21476</v>
      </c>
      <c r="N134" s="106">
        <v>21964</v>
      </c>
      <c r="O134" s="106">
        <v>22029</v>
      </c>
      <c r="P134" s="106">
        <v>22181</v>
      </c>
      <c r="Q134" s="106">
        <v>22342</v>
      </c>
      <c r="R134" s="106">
        <v>22612</v>
      </c>
      <c r="S134" s="106">
        <v>23017</v>
      </c>
      <c r="T134" s="106">
        <v>23580</v>
      </c>
      <c r="U134" s="106">
        <v>24405</v>
      </c>
      <c r="V134" s="106">
        <v>25514</v>
      </c>
      <c r="W134" s="106">
        <v>26579</v>
      </c>
      <c r="X134" s="106">
        <v>27692</v>
      </c>
      <c r="Y134" s="106">
        <v>29694</v>
      </c>
      <c r="Z134" s="150">
        <v>31171</v>
      </c>
      <c r="AA134" s="150">
        <v>34764</v>
      </c>
      <c r="AB134" s="150">
        <v>38524</v>
      </c>
      <c r="AC134" s="142"/>
    </row>
    <row r="135" spans="1:29" x14ac:dyDescent="0.2">
      <c r="A135" s="104" t="s">
        <v>604</v>
      </c>
      <c r="B135" s="104">
        <v>6624</v>
      </c>
      <c r="C135" s="104" t="s">
        <v>660</v>
      </c>
      <c r="D135" s="105" t="s">
        <v>880</v>
      </c>
      <c r="E135" s="106">
        <v>1697</v>
      </c>
      <c r="F135" s="106">
        <v>1717</v>
      </c>
      <c r="G135" s="106">
        <v>1717</v>
      </c>
      <c r="H135" s="106">
        <v>2319</v>
      </c>
      <c r="I135" s="106">
        <v>0</v>
      </c>
      <c r="J135" s="106">
        <v>0</v>
      </c>
      <c r="K135" s="106">
        <v>2593</v>
      </c>
      <c r="L135" s="106">
        <v>2719</v>
      </c>
      <c r="M135" s="106">
        <v>2494</v>
      </c>
      <c r="N135" s="106">
        <v>2644</v>
      </c>
      <c r="O135" s="106">
        <v>2637</v>
      </c>
      <c r="P135" s="106">
        <v>2458</v>
      </c>
      <c r="Q135" s="106">
        <v>2765</v>
      </c>
      <c r="R135" s="106">
        <v>2764</v>
      </c>
      <c r="S135" s="106">
        <v>2782</v>
      </c>
      <c r="T135" s="106">
        <v>2782</v>
      </c>
      <c r="U135" s="106">
        <v>3075</v>
      </c>
      <c r="V135" s="106">
        <v>3194</v>
      </c>
      <c r="W135" s="106">
        <v>3034</v>
      </c>
      <c r="X135" s="106">
        <v>3125</v>
      </c>
      <c r="Y135" s="106">
        <v>3173</v>
      </c>
      <c r="Z135" s="150">
        <v>3235</v>
      </c>
      <c r="AA135" s="150">
        <v>3395</v>
      </c>
      <c r="AB135" s="150">
        <v>3952</v>
      </c>
      <c r="AC135" s="142"/>
    </row>
    <row r="136" spans="1:29" x14ac:dyDescent="0.2">
      <c r="A136" s="104" t="s">
        <v>604</v>
      </c>
      <c r="B136" s="104">
        <v>6920</v>
      </c>
      <c r="C136" s="104" t="s">
        <v>663</v>
      </c>
      <c r="D136" s="105" t="s">
        <v>880</v>
      </c>
      <c r="E136" s="106">
        <v>554</v>
      </c>
      <c r="F136" s="106">
        <v>800</v>
      </c>
      <c r="G136" s="106">
        <v>0</v>
      </c>
      <c r="H136" s="106">
        <v>819</v>
      </c>
      <c r="I136" s="106">
        <v>0</v>
      </c>
      <c r="J136" s="106">
        <v>966</v>
      </c>
      <c r="K136" s="106">
        <v>909</v>
      </c>
      <c r="L136" s="106">
        <v>908</v>
      </c>
      <c r="M136" s="106">
        <v>1200</v>
      </c>
      <c r="N136" s="106">
        <v>1216</v>
      </c>
      <c r="O136" s="106">
        <v>1191</v>
      </c>
      <c r="P136" s="106">
        <v>1172</v>
      </c>
      <c r="Q136" s="106">
        <v>1220</v>
      </c>
      <c r="R136" s="106">
        <v>1204</v>
      </c>
      <c r="S136" s="106">
        <v>1211</v>
      </c>
      <c r="T136" s="106">
        <v>1207</v>
      </c>
      <c r="U136" s="106">
        <v>1239</v>
      </c>
      <c r="V136" s="106">
        <v>1272</v>
      </c>
      <c r="W136" s="106">
        <v>1332</v>
      </c>
      <c r="X136" s="106">
        <v>1425</v>
      </c>
      <c r="Y136" s="106">
        <v>1574</v>
      </c>
      <c r="Z136" s="150">
        <v>1817</v>
      </c>
      <c r="AA136" s="150">
        <v>2112</v>
      </c>
      <c r="AB136" s="150">
        <v>2796</v>
      </c>
      <c r="AC136" s="142"/>
    </row>
    <row r="137" spans="1:29" x14ac:dyDescent="0.2">
      <c r="A137" s="104" t="s">
        <v>604</v>
      </c>
      <c r="B137" s="104">
        <v>7119</v>
      </c>
      <c r="C137" s="104" t="s">
        <v>665</v>
      </c>
      <c r="D137" s="105" t="s">
        <v>880</v>
      </c>
      <c r="E137" s="106">
        <v>7826</v>
      </c>
      <c r="F137" s="106">
        <v>8166</v>
      </c>
      <c r="G137" s="106">
        <v>8362</v>
      </c>
      <c r="H137" s="106">
        <v>8451</v>
      </c>
      <c r="I137" s="106">
        <v>8614</v>
      </c>
      <c r="J137" s="106">
        <v>8840</v>
      </c>
      <c r="K137" s="106">
        <v>9336</v>
      </c>
      <c r="L137" s="106">
        <v>9655</v>
      </c>
      <c r="M137" s="106">
        <v>9621</v>
      </c>
      <c r="N137" s="106">
        <v>9669</v>
      </c>
      <c r="O137" s="106">
        <v>9745</v>
      </c>
      <c r="P137" s="106">
        <v>9804</v>
      </c>
      <c r="Q137" s="106">
        <v>9876</v>
      </c>
      <c r="R137" s="106">
        <v>10036</v>
      </c>
      <c r="S137" s="106">
        <v>10218</v>
      </c>
      <c r="T137" s="106">
        <v>10218</v>
      </c>
      <c r="U137" s="106">
        <v>10921</v>
      </c>
      <c r="V137" s="106">
        <v>11028</v>
      </c>
      <c r="W137" s="106">
        <v>12076</v>
      </c>
      <c r="X137" s="106">
        <v>11520</v>
      </c>
      <c r="Y137" s="106">
        <v>12085</v>
      </c>
      <c r="Z137" s="150">
        <v>12631</v>
      </c>
      <c r="AA137" s="150">
        <v>13305</v>
      </c>
      <c r="AB137" s="150">
        <v>14574</v>
      </c>
      <c r="AC137" s="142"/>
    </row>
    <row r="138" spans="1:29" x14ac:dyDescent="0.2">
      <c r="A138" s="104" t="s">
        <v>604</v>
      </c>
      <c r="B138" s="104">
        <v>7187</v>
      </c>
      <c r="C138" s="104" t="s">
        <v>928</v>
      </c>
      <c r="D138" s="105" t="s">
        <v>880</v>
      </c>
      <c r="E138" s="106">
        <v>867</v>
      </c>
      <c r="F138" s="106">
        <v>867</v>
      </c>
      <c r="G138" s="106">
        <v>867</v>
      </c>
      <c r="H138" s="106">
        <v>868</v>
      </c>
      <c r="I138" s="106">
        <v>869</v>
      </c>
      <c r="J138" s="106">
        <v>950</v>
      </c>
      <c r="K138" s="106">
        <v>0</v>
      </c>
      <c r="L138" s="106">
        <v>867</v>
      </c>
      <c r="M138" s="106">
        <v>962</v>
      </c>
      <c r="N138" s="106">
        <v>962</v>
      </c>
      <c r="O138" s="106">
        <v>962</v>
      </c>
      <c r="P138" s="106">
        <v>962</v>
      </c>
      <c r="Q138" s="106">
        <v>962</v>
      </c>
      <c r="R138" s="106">
        <v>962</v>
      </c>
      <c r="S138" s="106">
        <v>962</v>
      </c>
      <c r="T138" s="106">
        <v>962</v>
      </c>
      <c r="U138" s="106">
        <v>962</v>
      </c>
      <c r="V138" s="106">
        <v>869</v>
      </c>
      <c r="W138" s="106">
        <v>869</v>
      </c>
      <c r="X138" s="106">
        <v>869</v>
      </c>
      <c r="Y138" s="106">
        <v>869</v>
      </c>
      <c r="Z138" s="150">
        <v>869</v>
      </c>
      <c r="AA138" s="150">
        <v>869</v>
      </c>
      <c r="AB138" s="150">
        <v>869</v>
      </c>
      <c r="AC138" s="142"/>
    </row>
    <row r="139" spans="1:29" x14ac:dyDescent="0.2">
      <c r="A139" s="104" t="s">
        <v>604</v>
      </c>
      <c r="B139" s="104">
        <v>7328</v>
      </c>
      <c r="C139" s="104" t="s">
        <v>929</v>
      </c>
      <c r="D139" s="105" t="s">
        <v>880</v>
      </c>
      <c r="E139" s="106">
        <v>0</v>
      </c>
      <c r="F139" s="106">
        <v>0</v>
      </c>
      <c r="G139" s="106">
        <v>0</v>
      </c>
      <c r="H139" s="106">
        <v>0</v>
      </c>
      <c r="I139" s="106">
        <v>0</v>
      </c>
      <c r="J139" s="106">
        <v>0</v>
      </c>
      <c r="K139" s="106">
        <v>500</v>
      </c>
      <c r="L139" s="106">
        <v>500</v>
      </c>
      <c r="M139" s="106">
        <v>500</v>
      </c>
      <c r="N139" s="106">
        <v>500</v>
      </c>
      <c r="O139" s="106">
        <v>0</v>
      </c>
      <c r="P139" s="106">
        <v>500</v>
      </c>
      <c r="Q139" s="106">
        <v>500</v>
      </c>
      <c r="R139" s="106">
        <v>500</v>
      </c>
      <c r="S139" s="106">
        <v>500</v>
      </c>
      <c r="T139" s="106">
        <v>500</v>
      </c>
      <c r="U139" s="106">
        <v>500</v>
      </c>
      <c r="V139" s="106">
        <v>500</v>
      </c>
      <c r="W139" s="106">
        <v>500</v>
      </c>
      <c r="X139" s="106">
        <v>500</v>
      </c>
      <c r="Y139" s="106">
        <v>500</v>
      </c>
      <c r="Z139" s="150">
        <v>500</v>
      </c>
      <c r="AA139" s="150">
        <v>500</v>
      </c>
      <c r="AB139" s="150">
        <v>500</v>
      </c>
      <c r="AC139" s="142"/>
    </row>
    <row r="140" spans="1:29" x14ac:dyDescent="0.2">
      <c r="A140" s="104" t="s">
        <v>604</v>
      </c>
      <c r="B140" s="104">
        <v>7878</v>
      </c>
      <c r="C140" s="104" t="s">
        <v>523</v>
      </c>
      <c r="D140" s="105" t="s">
        <v>880</v>
      </c>
      <c r="E140" s="106">
        <v>0</v>
      </c>
      <c r="F140" s="106">
        <v>780</v>
      </c>
      <c r="G140" s="106">
        <v>0</v>
      </c>
      <c r="H140" s="106">
        <v>0</v>
      </c>
      <c r="I140" s="106">
        <v>0</v>
      </c>
      <c r="J140" s="106">
        <v>803</v>
      </c>
      <c r="K140" s="106">
        <v>0</v>
      </c>
      <c r="L140" s="106">
        <v>847</v>
      </c>
      <c r="M140" s="106">
        <v>0</v>
      </c>
      <c r="N140" s="106">
        <v>0</v>
      </c>
      <c r="O140" s="106">
        <v>838</v>
      </c>
      <c r="P140" s="106">
        <v>761</v>
      </c>
      <c r="Q140" s="106">
        <v>847</v>
      </c>
      <c r="R140" s="106">
        <v>847</v>
      </c>
      <c r="S140" s="106">
        <v>847</v>
      </c>
      <c r="T140" s="106">
        <v>847</v>
      </c>
      <c r="U140" s="106">
        <v>847</v>
      </c>
      <c r="V140" s="106">
        <v>847</v>
      </c>
      <c r="W140" s="106">
        <v>847</v>
      </c>
      <c r="X140" s="106">
        <v>847</v>
      </c>
      <c r="Y140" s="106">
        <v>847</v>
      </c>
      <c r="Z140" s="150">
        <v>857</v>
      </c>
      <c r="AA140" s="150">
        <v>857</v>
      </c>
      <c r="AB140" s="150">
        <v>858</v>
      </c>
      <c r="AC140" s="142"/>
    </row>
    <row r="141" spans="1:29" x14ac:dyDescent="0.2">
      <c r="A141" s="104" t="s">
        <v>604</v>
      </c>
      <c r="B141" s="104">
        <v>8054</v>
      </c>
      <c r="C141" s="104" t="s">
        <v>927</v>
      </c>
      <c r="D141" s="105" t="s">
        <v>880</v>
      </c>
      <c r="E141" s="106">
        <v>1721</v>
      </c>
      <c r="F141" s="106">
        <v>2062</v>
      </c>
      <c r="G141" s="106">
        <v>1861</v>
      </c>
      <c r="H141" s="106">
        <v>2137</v>
      </c>
      <c r="I141" s="106">
        <v>0</v>
      </c>
      <c r="J141" s="106">
        <v>0</v>
      </c>
      <c r="K141" s="106">
        <v>1599.6031746031747</v>
      </c>
      <c r="L141" s="106">
        <v>2465</v>
      </c>
      <c r="M141" s="106">
        <v>2477</v>
      </c>
      <c r="N141" s="106">
        <v>2484</v>
      </c>
      <c r="O141" s="106">
        <v>2488</v>
      </c>
      <c r="P141" s="106">
        <v>2491</v>
      </c>
      <c r="Q141" s="106">
        <v>2493</v>
      </c>
      <c r="R141" s="106">
        <v>2495</v>
      </c>
      <c r="S141" s="106">
        <v>2498</v>
      </c>
      <c r="T141" s="106">
        <v>2509</v>
      </c>
      <c r="U141" s="106">
        <v>2513</v>
      </c>
      <c r="V141" s="106">
        <v>2516</v>
      </c>
      <c r="W141" s="106">
        <v>2528</v>
      </c>
      <c r="X141" s="106">
        <v>2532</v>
      </c>
      <c r="Y141" s="106">
        <v>2541</v>
      </c>
      <c r="Z141" s="150">
        <v>2559</v>
      </c>
      <c r="AA141" s="150">
        <v>2583</v>
      </c>
      <c r="AB141" s="150">
        <v>2617</v>
      </c>
      <c r="AC141" s="142"/>
    </row>
    <row r="142" spans="1:29" x14ac:dyDescent="0.2">
      <c r="A142" s="104" t="s">
        <v>604</v>
      </c>
      <c r="B142" s="104">
        <v>8344</v>
      </c>
      <c r="C142" s="104" t="s">
        <v>930</v>
      </c>
      <c r="D142" s="105" t="s">
        <v>880</v>
      </c>
      <c r="E142" s="106">
        <v>708</v>
      </c>
      <c r="F142" s="106">
        <v>708</v>
      </c>
      <c r="G142" s="106">
        <v>708</v>
      </c>
      <c r="H142" s="106">
        <v>708</v>
      </c>
      <c r="I142" s="106">
        <v>711</v>
      </c>
      <c r="J142" s="106">
        <v>0</v>
      </c>
      <c r="K142" s="106">
        <v>0</v>
      </c>
      <c r="L142" s="106">
        <v>0</v>
      </c>
      <c r="M142" s="106">
        <v>714</v>
      </c>
      <c r="N142" s="106">
        <v>714</v>
      </c>
      <c r="O142" s="106">
        <v>714</v>
      </c>
      <c r="P142" s="106">
        <v>714</v>
      </c>
      <c r="Q142" s="106">
        <v>714</v>
      </c>
      <c r="R142" s="106">
        <v>714</v>
      </c>
      <c r="S142" s="106">
        <v>714</v>
      </c>
      <c r="T142" s="106">
        <v>705</v>
      </c>
      <c r="U142" s="106">
        <v>705</v>
      </c>
      <c r="V142" s="106">
        <v>705</v>
      </c>
      <c r="W142" s="106">
        <v>705</v>
      </c>
      <c r="X142" s="106">
        <v>705</v>
      </c>
      <c r="Y142" s="106">
        <v>705</v>
      </c>
      <c r="Z142" s="150">
        <v>705</v>
      </c>
      <c r="AA142" s="150">
        <v>705</v>
      </c>
      <c r="AB142" s="150">
        <v>705</v>
      </c>
      <c r="AC142" s="142"/>
    </row>
    <row r="143" spans="1:29" x14ac:dyDescent="0.2">
      <c r="A143" s="104" t="s">
        <v>604</v>
      </c>
      <c r="B143" s="104">
        <v>8468</v>
      </c>
      <c r="C143" s="104" t="s">
        <v>685</v>
      </c>
      <c r="D143" s="105" t="s">
        <v>880</v>
      </c>
      <c r="E143" s="106">
        <v>779</v>
      </c>
      <c r="F143" s="106">
        <v>0</v>
      </c>
      <c r="G143" s="106">
        <v>777</v>
      </c>
      <c r="H143" s="106">
        <v>822</v>
      </c>
      <c r="I143" s="106">
        <v>0</v>
      </c>
      <c r="J143" s="106">
        <v>861</v>
      </c>
      <c r="K143" s="106">
        <v>861</v>
      </c>
      <c r="L143" s="106">
        <v>860</v>
      </c>
      <c r="M143" s="106">
        <v>1931</v>
      </c>
      <c r="N143" s="106">
        <v>1941</v>
      </c>
      <c r="O143" s="106">
        <v>1940</v>
      </c>
      <c r="P143" s="106">
        <v>1954</v>
      </c>
      <c r="Q143" s="106">
        <v>1994</v>
      </c>
      <c r="R143" s="106">
        <v>1973</v>
      </c>
      <c r="S143" s="106">
        <v>1943</v>
      </c>
      <c r="T143" s="106">
        <v>2104</v>
      </c>
      <c r="U143" s="106">
        <v>2169</v>
      </c>
      <c r="V143" s="106">
        <v>2231</v>
      </c>
      <c r="W143" s="106">
        <v>2376</v>
      </c>
      <c r="X143" s="106">
        <v>2467</v>
      </c>
      <c r="Y143" s="106">
        <v>2522</v>
      </c>
      <c r="Z143" s="150">
        <v>2569</v>
      </c>
      <c r="AA143" s="150">
        <v>2570</v>
      </c>
      <c r="AB143" s="150">
        <v>2605</v>
      </c>
      <c r="AC143" s="142"/>
    </row>
    <row r="144" spans="1:29" x14ac:dyDescent="0.2">
      <c r="A144" s="104" t="s">
        <v>604</v>
      </c>
      <c r="B144" s="104">
        <v>8522</v>
      </c>
      <c r="C144" s="104" t="s">
        <v>687</v>
      </c>
      <c r="D144" s="105" t="s">
        <v>880</v>
      </c>
      <c r="E144" s="106">
        <v>0</v>
      </c>
      <c r="F144" s="106">
        <v>5957</v>
      </c>
      <c r="G144" s="106">
        <v>6157</v>
      </c>
      <c r="H144" s="106">
        <v>6335</v>
      </c>
      <c r="I144" s="106">
        <v>0</v>
      </c>
      <c r="J144" s="106">
        <v>7306</v>
      </c>
      <c r="K144" s="106">
        <v>7888</v>
      </c>
      <c r="L144" s="106">
        <v>8016</v>
      </c>
      <c r="M144" s="106">
        <v>8729</v>
      </c>
      <c r="N144" s="106">
        <v>8836</v>
      </c>
      <c r="O144" s="106">
        <v>7591</v>
      </c>
      <c r="P144" s="106">
        <v>11053</v>
      </c>
      <c r="Q144" s="106">
        <v>11095</v>
      </c>
      <c r="R144" s="106">
        <v>11234</v>
      </c>
      <c r="S144" s="106">
        <v>11439</v>
      </c>
      <c r="T144" s="106">
        <v>11606</v>
      </c>
      <c r="U144" s="106">
        <v>11928</v>
      </c>
      <c r="V144" s="106">
        <v>12281</v>
      </c>
      <c r="W144" s="106">
        <v>13437</v>
      </c>
      <c r="X144" s="106">
        <v>13775</v>
      </c>
      <c r="Y144" s="106">
        <v>14567</v>
      </c>
      <c r="Z144" s="150">
        <v>16417</v>
      </c>
      <c r="AA144" s="150">
        <v>17744</v>
      </c>
      <c r="AB144" s="150">
        <v>19345</v>
      </c>
      <c r="AC144" s="142"/>
    </row>
    <row r="145" spans="1:29" x14ac:dyDescent="0.2">
      <c r="A145" s="104" t="s">
        <v>604</v>
      </c>
      <c r="B145" s="104">
        <v>8753</v>
      </c>
      <c r="C145" s="104" t="s">
        <v>931</v>
      </c>
      <c r="D145" s="105" t="s">
        <v>880</v>
      </c>
      <c r="E145" s="106">
        <v>385</v>
      </c>
      <c r="F145" s="106">
        <v>385</v>
      </c>
      <c r="G145" s="106">
        <v>385</v>
      </c>
      <c r="H145" s="106">
        <v>390</v>
      </c>
      <c r="I145" s="106">
        <v>395</v>
      </c>
      <c r="J145" s="106">
        <v>400</v>
      </c>
      <c r="K145" s="106">
        <v>0</v>
      </c>
      <c r="L145" s="106">
        <v>385</v>
      </c>
      <c r="M145" s="106">
        <v>394</v>
      </c>
      <c r="N145" s="106">
        <v>394</v>
      </c>
      <c r="O145" s="106">
        <v>394</v>
      </c>
      <c r="P145" s="106">
        <v>394</v>
      </c>
      <c r="Q145" s="106">
        <v>394</v>
      </c>
      <c r="R145" s="106">
        <v>394</v>
      </c>
      <c r="S145" s="106">
        <v>391</v>
      </c>
      <c r="T145" s="106">
        <v>391</v>
      </c>
      <c r="U145" s="106" t="s">
        <v>868</v>
      </c>
      <c r="V145" s="106" t="s">
        <v>868</v>
      </c>
      <c r="W145" s="106" t="s">
        <v>868</v>
      </c>
      <c r="X145" s="106" t="s">
        <v>868</v>
      </c>
      <c r="Y145" s="106" t="s">
        <v>868</v>
      </c>
      <c r="Z145" s="150" t="s">
        <v>868</v>
      </c>
      <c r="AA145" s="106" t="s">
        <v>868</v>
      </c>
      <c r="AB145" s="106" t="s">
        <v>868</v>
      </c>
      <c r="AC145" s="142"/>
    </row>
    <row r="146" spans="1:29" x14ac:dyDescent="0.2">
      <c r="A146" s="104" t="s">
        <v>604</v>
      </c>
      <c r="B146" s="104">
        <v>8967</v>
      </c>
      <c r="C146" s="104" t="s">
        <v>932</v>
      </c>
      <c r="D146" s="105" t="s">
        <v>880</v>
      </c>
      <c r="E146" s="106">
        <v>0</v>
      </c>
      <c r="F146" s="106">
        <v>0</v>
      </c>
      <c r="G146" s="106">
        <v>0</v>
      </c>
      <c r="H146" s="106">
        <v>419</v>
      </c>
      <c r="I146" s="106">
        <v>0</v>
      </c>
      <c r="J146" s="106">
        <v>0</v>
      </c>
      <c r="K146" s="106">
        <v>415</v>
      </c>
      <c r="L146" s="106">
        <v>415</v>
      </c>
      <c r="M146" s="106">
        <v>415</v>
      </c>
      <c r="N146" s="106">
        <v>415</v>
      </c>
      <c r="O146" s="106">
        <v>415</v>
      </c>
      <c r="P146" s="106">
        <v>415</v>
      </c>
      <c r="Q146" s="106">
        <v>415</v>
      </c>
      <c r="R146" s="106">
        <v>415</v>
      </c>
      <c r="S146" s="106">
        <v>415</v>
      </c>
      <c r="T146" s="106">
        <v>416</v>
      </c>
      <c r="U146" s="106">
        <v>416</v>
      </c>
      <c r="V146" s="106">
        <v>416</v>
      </c>
      <c r="W146" s="106">
        <v>416</v>
      </c>
      <c r="X146" s="106">
        <v>416</v>
      </c>
      <c r="Y146" s="106">
        <v>416</v>
      </c>
      <c r="Z146" s="150">
        <v>416</v>
      </c>
      <c r="AA146" s="150">
        <v>416</v>
      </c>
      <c r="AB146" s="150">
        <v>416</v>
      </c>
      <c r="AC146" s="142"/>
    </row>
    <row r="147" spans="1:29" x14ac:dyDescent="0.2">
      <c r="A147" s="104" t="s">
        <v>604</v>
      </c>
      <c r="B147" s="104">
        <v>10141</v>
      </c>
      <c r="C147" s="104" t="s">
        <v>933</v>
      </c>
      <c r="D147" s="105" t="s">
        <v>880</v>
      </c>
      <c r="E147" s="106">
        <v>0</v>
      </c>
      <c r="F147" s="106">
        <v>0</v>
      </c>
      <c r="G147" s="106">
        <v>0</v>
      </c>
      <c r="H147" s="106">
        <v>0</v>
      </c>
      <c r="I147" s="106">
        <v>0</v>
      </c>
      <c r="J147" s="106">
        <v>0</v>
      </c>
      <c r="K147" s="106">
        <v>0</v>
      </c>
      <c r="L147" s="106">
        <v>0</v>
      </c>
      <c r="M147" s="106">
        <v>0</v>
      </c>
      <c r="N147" s="106">
        <v>0</v>
      </c>
      <c r="O147" s="106">
        <v>0</v>
      </c>
      <c r="P147" s="106">
        <v>0</v>
      </c>
      <c r="Q147" s="106">
        <v>0</v>
      </c>
      <c r="R147" s="106"/>
      <c r="S147" s="106"/>
      <c r="T147" s="106"/>
      <c r="U147" s="106">
        <v>0</v>
      </c>
      <c r="V147" s="106" t="s">
        <v>868</v>
      </c>
      <c r="W147" s="106" t="s">
        <v>868</v>
      </c>
      <c r="X147" s="106" t="s">
        <v>868</v>
      </c>
      <c r="Y147" s="106" t="s">
        <v>868</v>
      </c>
      <c r="Z147" s="150">
        <v>145</v>
      </c>
      <c r="AA147" s="143" t="s">
        <v>868</v>
      </c>
      <c r="AB147" s="143" t="s">
        <v>868</v>
      </c>
    </row>
    <row r="148" spans="1:29" x14ac:dyDescent="0.2">
      <c r="A148" s="104" t="s">
        <v>604</v>
      </c>
      <c r="B148" s="104">
        <v>12800</v>
      </c>
      <c r="C148" s="104" t="s">
        <v>934</v>
      </c>
      <c r="D148" s="105" t="s">
        <v>880</v>
      </c>
      <c r="E148" s="106">
        <v>0</v>
      </c>
      <c r="F148" s="106">
        <v>0</v>
      </c>
      <c r="G148" s="106">
        <v>0</v>
      </c>
      <c r="H148" s="106">
        <v>0</v>
      </c>
      <c r="I148" s="106">
        <v>0</v>
      </c>
      <c r="J148" s="106">
        <v>0</v>
      </c>
      <c r="K148" s="106">
        <v>0</v>
      </c>
      <c r="L148" s="106">
        <v>0</v>
      </c>
      <c r="M148" s="106">
        <v>0</v>
      </c>
      <c r="N148" s="106">
        <v>0</v>
      </c>
      <c r="O148" s="106">
        <v>0</v>
      </c>
      <c r="P148" s="106">
        <v>0</v>
      </c>
      <c r="Q148" s="106">
        <v>0</v>
      </c>
      <c r="R148" s="106">
        <v>0</v>
      </c>
      <c r="S148" s="106">
        <v>0</v>
      </c>
      <c r="T148" s="106" t="s">
        <v>868</v>
      </c>
      <c r="U148" s="106">
        <v>0</v>
      </c>
      <c r="V148" s="106">
        <v>117</v>
      </c>
      <c r="W148" s="106">
        <v>166</v>
      </c>
      <c r="X148" s="106">
        <v>353</v>
      </c>
      <c r="Y148" s="106">
        <v>391</v>
      </c>
      <c r="Z148" s="150">
        <v>759</v>
      </c>
      <c r="AA148" s="143" t="s">
        <v>868</v>
      </c>
      <c r="AB148" s="143" t="s">
        <v>868</v>
      </c>
    </row>
    <row r="149" spans="1:29" x14ac:dyDescent="0.2">
      <c r="A149" s="104" t="s">
        <v>604</v>
      </c>
      <c r="B149" s="104">
        <v>12964</v>
      </c>
      <c r="C149" s="104" t="s">
        <v>935</v>
      </c>
      <c r="D149" s="105" t="s">
        <v>880</v>
      </c>
      <c r="E149" s="106">
        <v>0</v>
      </c>
      <c r="F149" s="106">
        <v>0</v>
      </c>
      <c r="G149" s="106">
        <v>0</v>
      </c>
      <c r="H149" s="106">
        <v>0</v>
      </c>
      <c r="I149" s="106">
        <v>0</v>
      </c>
      <c r="J149" s="106">
        <v>0</v>
      </c>
      <c r="K149" s="106">
        <v>0</v>
      </c>
      <c r="L149" s="106">
        <v>0</v>
      </c>
      <c r="M149" s="106">
        <v>0</v>
      </c>
      <c r="N149" s="106">
        <v>0</v>
      </c>
      <c r="O149" s="106">
        <v>0</v>
      </c>
      <c r="P149" s="106">
        <v>0</v>
      </c>
      <c r="Q149" s="106">
        <v>0</v>
      </c>
      <c r="R149" s="106">
        <v>0</v>
      </c>
      <c r="S149" s="106">
        <v>0</v>
      </c>
      <c r="T149" s="106" t="s">
        <v>868</v>
      </c>
      <c r="U149" s="106" t="s">
        <v>868</v>
      </c>
      <c r="V149" s="106" t="s">
        <v>868</v>
      </c>
      <c r="W149" s="106" t="s">
        <v>868</v>
      </c>
      <c r="X149" s="106" t="s">
        <v>868</v>
      </c>
      <c r="Y149" s="106" t="s">
        <v>868</v>
      </c>
      <c r="Z149" s="150" t="s">
        <v>868</v>
      </c>
      <c r="AA149" s="106" t="s">
        <v>868</v>
      </c>
      <c r="AB149" s="106" t="s">
        <v>868</v>
      </c>
    </row>
    <row r="150" spans="1:29" x14ac:dyDescent="0.2">
      <c r="A150" s="104" t="s">
        <v>604</v>
      </c>
      <c r="B150" s="104">
        <v>13043</v>
      </c>
      <c r="C150" s="104" t="s">
        <v>936</v>
      </c>
      <c r="D150" s="105" t="s">
        <v>880</v>
      </c>
      <c r="E150" s="106">
        <v>0</v>
      </c>
      <c r="F150" s="106">
        <v>1111</v>
      </c>
      <c r="G150" s="106">
        <v>1134</v>
      </c>
      <c r="H150" s="106">
        <v>1188</v>
      </c>
      <c r="I150" s="106">
        <v>0</v>
      </c>
      <c r="J150" s="106">
        <v>1225</v>
      </c>
      <c r="K150" s="106">
        <v>1423</v>
      </c>
      <c r="L150" s="106">
        <v>1435</v>
      </c>
      <c r="M150" s="106">
        <v>1406</v>
      </c>
      <c r="N150" s="106">
        <v>1432</v>
      </c>
      <c r="O150" s="106">
        <v>1437</v>
      </c>
      <c r="P150" s="106">
        <v>1677</v>
      </c>
      <c r="Q150" s="106">
        <v>1448</v>
      </c>
      <c r="R150" s="106">
        <v>1456</v>
      </c>
      <c r="S150" s="106">
        <v>1470</v>
      </c>
      <c r="T150" s="106">
        <v>1499</v>
      </c>
      <c r="U150" s="106">
        <v>1520</v>
      </c>
      <c r="V150" s="106">
        <v>1562</v>
      </c>
      <c r="W150" s="106">
        <v>1601</v>
      </c>
      <c r="X150" s="106">
        <v>1596</v>
      </c>
      <c r="Y150" s="106">
        <v>1604</v>
      </c>
      <c r="Z150" s="150">
        <v>1604</v>
      </c>
      <c r="AA150" s="150">
        <v>1604</v>
      </c>
      <c r="AB150" s="150">
        <v>1604</v>
      </c>
    </row>
    <row r="151" spans="1:29" x14ac:dyDescent="0.2">
      <c r="A151" s="104" t="s">
        <v>710</v>
      </c>
      <c r="B151" s="104">
        <v>2923</v>
      </c>
      <c r="C151" s="104" t="s">
        <v>712</v>
      </c>
      <c r="D151" s="105" t="s">
        <v>863</v>
      </c>
      <c r="E151" s="106">
        <v>12206</v>
      </c>
      <c r="F151" s="106">
        <v>13085</v>
      </c>
      <c r="G151" s="106">
        <v>13689</v>
      </c>
      <c r="H151" s="106">
        <v>14102</v>
      </c>
      <c r="I151" s="106">
        <v>15310</v>
      </c>
      <c r="J151" s="106">
        <v>15839</v>
      </c>
      <c r="K151" s="106">
        <v>17427</v>
      </c>
      <c r="L151" s="106">
        <v>17287</v>
      </c>
      <c r="M151" s="106">
        <v>18139</v>
      </c>
      <c r="N151" s="106">
        <v>18885</v>
      </c>
      <c r="O151" s="106">
        <v>18919</v>
      </c>
      <c r="P151" s="106">
        <v>18704</v>
      </c>
      <c r="Q151" s="106">
        <v>18990</v>
      </c>
      <c r="R151" s="106">
        <v>19492</v>
      </c>
      <c r="S151" s="106">
        <v>19800</v>
      </c>
      <c r="T151" s="106">
        <v>20394</v>
      </c>
      <c r="U151" s="106">
        <v>21061</v>
      </c>
      <c r="V151" s="106">
        <v>21747</v>
      </c>
      <c r="W151" s="106">
        <v>22770</v>
      </c>
      <c r="X151" s="106">
        <v>24186</v>
      </c>
      <c r="Y151" s="106">
        <v>24114</v>
      </c>
      <c r="Z151" s="150">
        <v>24958</v>
      </c>
      <c r="AA151" s="150">
        <v>25441</v>
      </c>
      <c r="AB151" s="150">
        <v>26767</v>
      </c>
    </row>
    <row r="152" spans="1:29" x14ac:dyDescent="0.2">
      <c r="A152" s="104" t="s">
        <v>710</v>
      </c>
      <c r="B152" s="104">
        <v>4318</v>
      </c>
      <c r="C152" s="104" t="s">
        <v>937</v>
      </c>
      <c r="D152" s="105" t="s">
        <v>863</v>
      </c>
      <c r="E152" s="106">
        <v>28924</v>
      </c>
      <c r="F152" s="106">
        <v>28926</v>
      </c>
      <c r="G152" s="106">
        <v>29314</v>
      </c>
      <c r="H152" s="106">
        <v>29687</v>
      </c>
      <c r="I152" s="106">
        <v>29752</v>
      </c>
      <c r="J152" s="106">
        <v>0</v>
      </c>
      <c r="K152" s="106">
        <v>29855</v>
      </c>
      <c r="L152" s="106">
        <v>30010</v>
      </c>
      <c r="M152" s="106">
        <v>27597</v>
      </c>
      <c r="N152" s="106">
        <v>27788</v>
      </c>
      <c r="O152" s="106">
        <v>29811</v>
      </c>
      <c r="P152" s="106">
        <v>30562</v>
      </c>
      <c r="Q152" s="106">
        <v>27381</v>
      </c>
      <c r="R152" s="106">
        <v>29881</v>
      </c>
      <c r="S152" s="106">
        <v>30544</v>
      </c>
      <c r="T152" s="106">
        <v>30631</v>
      </c>
      <c r="U152" s="106">
        <v>31002</v>
      </c>
      <c r="V152" s="106">
        <v>31123</v>
      </c>
      <c r="W152" s="106">
        <v>33024</v>
      </c>
      <c r="X152" s="106">
        <v>32792</v>
      </c>
      <c r="Y152" s="106">
        <v>33066</v>
      </c>
      <c r="Z152" s="150">
        <v>33105</v>
      </c>
      <c r="AA152" s="150">
        <v>33137</v>
      </c>
      <c r="AB152" s="150">
        <v>33161</v>
      </c>
    </row>
    <row r="153" spans="1:29" x14ac:dyDescent="0.2">
      <c r="A153" s="104" t="s">
        <v>710</v>
      </c>
      <c r="B153" s="104">
        <v>4866</v>
      </c>
      <c r="C153" s="104" t="s">
        <v>716</v>
      </c>
      <c r="D153" s="105" t="s">
        <v>863</v>
      </c>
      <c r="E153" s="106">
        <v>16414</v>
      </c>
      <c r="F153" s="106">
        <v>16936</v>
      </c>
      <c r="G153" s="106">
        <v>16714</v>
      </c>
      <c r="H153" s="106">
        <v>16770</v>
      </c>
      <c r="I153" s="106">
        <v>17215</v>
      </c>
      <c r="J153" s="106">
        <v>17514</v>
      </c>
      <c r="K153" s="106">
        <v>17750</v>
      </c>
      <c r="L153" s="106">
        <v>18154</v>
      </c>
      <c r="M153" s="106">
        <v>18253</v>
      </c>
      <c r="N153" s="106">
        <v>22953</v>
      </c>
      <c r="O153" s="106">
        <v>18195</v>
      </c>
      <c r="P153" s="106">
        <v>18109</v>
      </c>
      <c r="Q153" s="106">
        <v>18420</v>
      </c>
      <c r="R153" s="106">
        <v>18533</v>
      </c>
      <c r="S153" s="106">
        <v>18614</v>
      </c>
      <c r="T153" s="106">
        <v>21450</v>
      </c>
      <c r="U153" s="106">
        <v>20259</v>
      </c>
      <c r="V153" s="106">
        <v>20454</v>
      </c>
      <c r="W153" s="106">
        <v>19687</v>
      </c>
      <c r="X153" s="106">
        <v>19874</v>
      </c>
      <c r="Y153" s="106">
        <v>19953</v>
      </c>
      <c r="Z153" s="150">
        <v>20201</v>
      </c>
      <c r="AA153" s="150">
        <v>20448</v>
      </c>
      <c r="AB153" s="150">
        <v>20859</v>
      </c>
    </row>
    <row r="154" spans="1:29" x14ac:dyDescent="0.2">
      <c r="A154" s="104" t="s">
        <v>710</v>
      </c>
      <c r="B154" s="104">
        <v>5393</v>
      </c>
      <c r="C154" s="104" t="s">
        <v>718</v>
      </c>
      <c r="D154" s="105" t="s">
        <v>863</v>
      </c>
      <c r="E154" s="106">
        <v>14047</v>
      </c>
      <c r="F154" s="106">
        <v>14310</v>
      </c>
      <c r="G154" s="106">
        <v>14665</v>
      </c>
      <c r="H154" s="106">
        <v>15276</v>
      </c>
      <c r="I154" s="106">
        <v>16972</v>
      </c>
      <c r="J154" s="106">
        <v>17641</v>
      </c>
      <c r="K154" s="106">
        <v>16900</v>
      </c>
      <c r="L154" s="106">
        <v>17275</v>
      </c>
      <c r="M154" s="106">
        <v>17689</v>
      </c>
      <c r="N154" s="106">
        <v>17697</v>
      </c>
      <c r="O154" s="106">
        <v>17276</v>
      </c>
      <c r="P154" s="106">
        <v>17342</v>
      </c>
      <c r="Q154" s="106">
        <v>17483</v>
      </c>
      <c r="R154" s="106">
        <v>17771</v>
      </c>
      <c r="S154" s="106">
        <v>17841</v>
      </c>
      <c r="T154" s="106">
        <v>14648</v>
      </c>
      <c r="U154" s="106">
        <v>18298</v>
      </c>
      <c r="V154" s="106">
        <v>18290</v>
      </c>
      <c r="W154" s="106">
        <v>18804</v>
      </c>
      <c r="X154" s="106">
        <v>19328</v>
      </c>
      <c r="Y154" s="106">
        <v>19671</v>
      </c>
      <c r="Z154" s="150">
        <v>20076</v>
      </c>
      <c r="AA154" s="150">
        <v>20713</v>
      </c>
      <c r="AB154" s="150">
        <v>21634</v>
      </c>
    </row>
    <row r="155" spans="1:29" x14ac:dyDescent="0.2">
      <c r="A155" s="104" t="s">
        <v>710</v>
      </c>
      <c r="B155" s="104">
        <v>5807</v>
      </c>
      <c r="C155" s="104" t="s">
        <v>938</v>
      </c>
      <c r="D155" s="105" t="s">
        <v>863</v>
      </c>
      <c r="E155" s="106">
        <v>988</v>
      </c>
      <c r="F155" s="106">
        <v>988</v>
      </c>
      <c r="G155" s="106">
        <v>988</v>
      </c>
      <c r="H155" s="106">
        <v>988</v>
      </c>
      <c r="I155" s="106">
        <v>988</v>
      </c>
      <c r="J155" s="106">
        <v>988</v>
      </c>
      <c r="K155" s="106">
        <v>988</v>
      </c>
      <c r="L155" s="106">
        <v>988</v>
      </c>
      <c r="M155" s="106">
        <v>988</v>
      </c>
      <c r="N155" s="106">
        <v>0</v>
      </c>
      <c r="O155" s="106">
        <v>988</v>
      </c>
      <c r="P155" s="106">
        <v>879</v>
      </c>
      <c r="Q155" s="106">
        <v>988</v>
      </c>
      <c r="R155" s="106">
        <v>988</v>
      </c>
      <c r="S155" s="106">
        <v>968</v>
      </c>
      <c r="T155" s="106">
        <v>969</v>
      </c>
      <c r="U155" s="106">
        <v>0</v>
      </c>
      <c r="V155" s="106">
        <v>969</v>
      </c>
      <c r="W155" s="106">
        <v>969</v>
      </c>
      <c r="X155" s="106">
        <v>969</v>
      </c>
      <c r="Y155" s="106">
        <v>969</v>
      </c>
      <c r="Z155" s="150">
        <v>969</v>
      </c>
      <c r="AA155" s="150">
        <v>969</v>
      </c>
      <c r="AB155" s="150">
        <v>969</v>
      </c>
    </row>
    <row r="156" spans="1:29" x14ac:dyDescent="0.2">
      <c r="A156" s="104" t="s">
        <v>710</v>
      </c>
      <c r="B156" s="104">
        <v>7448</v>
      </c>
      <c r="C156" s="104" t="s">
        <v>939</v>
      </c>
      <c r="D156" s="105" t="s">
        <v>863</v>
      </c>
      <c r="E156" s="106">
        <v>0</v>
      </c>
      <c r="F156" s="106">
        <v>0</v>
      </c>
      <c r="G156" s="106">
        <v>0</v>
      </c>
      <c r="H156" s="106">
        <v>0</v>
      </c>
      <c r="I156" s="106">
        <v>0</v>
      </c>
      <c r="J156" s="106">
        <v>0</v>
      </c>
      <c r="K156" s="106">
        <v>0</v>
      </c>
      <c r="L156" s="106">
        <v>1519</v>
      </c>
      <c r="M156" s="106">
        <v>1519</v>
      </c>
      <c r="N156" s="106">
        <v>0</v>
      </c>
      <c r="O156" s="106">
        <v>1519</v>
      </c>
      <c r="P156" s="106">
        <v>1519</v>
      </c>
      <c r="Q156" s="106">
        <v>1519</v>
      </c>
      <c r="R156" s="106">
        <v>1519</v>
      </c>
      <c r="S156" s="106">
        <v>1519</v>
      </c>
      <c r="T156" s="106"/>
      <c r="U156" s="106">
        <v>1519</v>
      </c>
      <c r="V156" s="106">
        <v>1519</v>
      </c>
      <c r="W156" s="106">
        <v>1519</v>
      </c>
      <c r="X156" s="106">
        <v>1519</v>
      </c>
      <c r="Y156" s="106">
        <v>1519</v>
      </c>
      <c r="Z156" s="150">
        <v>1519</v>
      </c>
      <c r="AA156" s="150">
        <v>1519</v>
      </c>
      <c r="AB156" s="150">
        <v>1519</v>
      </c>
    </row>
    <row r="157" spans="1:29" x14ac:dyDescent="0.2">
      <c r="A157" s="104" t="s">
        <v>710</v>
      </c>
      <c r="B157" s="104">
        <v>8836</v>
      </c>
      <c r="C157" s="104" t="s">
        <v>940</v>
      </c>
      <c r="D157" s="105" t="s">
        <v>863</v>
      </c>
      <c r="E157" s="106">
        <v>80003</v>
      </c>
      <c r="F157" s="106">
        <v>81174</v>
      </c>
      <c r="G157" s="106">
        <v>83532</v>
      </c>
      <c r="H157" s="106">
        <v>77129</v>
      </c>
      <c r="I157" s="106">
        <v>80343</v>
      </c>
      <c r="J157" s="106">
        <v>80577</v>
      </c>
      <c r="K157" s="106">
        <v>110800</v>
      </c>
      <c r="L157" s="106">
        <v>96639</v>
      </c>
      <c r="M157" s="106">
        <v>97089</v>
      </c>
      <c r="N157" s="106">
        <v>97470</v>
      </c>
      <c r="O157" s="106">
        <v>98518</v>
      </c>
      <c r="P157" s="106">
        <v>99097</v>
      </c>
      <c r="Q157" s="106">
        <v>100732</v>
      </c>
      <c r="R157" s="106">
        <v>105182</v>
      </c>
      <c r="S157" s="106">
        <v>108141</v>
      </c>
      <c r="T157" s="106">
        <v>109244</v>
      </c>
      <c r="U157" s="106">
        <v>110438</v>
      </c>
      <c r="V157" s="106">
        <v>112121</v>
      </c>
      <c r="W157" s="106">
        <v>114366</v>
      </c>
      <c r="X157" s="106">
        <v>117519</v>
      </c>
      <c r="Y157" s="106">
        <v>119241</v>
      </c>
      <c r="Z157" s="150">
        <v>122157</v>
      </c>
      <c r="AA157" s="150">
        <v>125373</v>
      </c>
      <c r="AB157" s="150">
        <v>128431</v>
      </c>
    </row>
    <row r="158" spans="1:29" x14ac:dyDescent="0.2">
      <c r="A158" s="104" t="s">
        <v>710</v>
      </c>
      <c r="B158" s="104">
        <v>9638</v>
      </c>
      <c r="C158" s="104" t="s">
        <v>941</v>
      </c>
      <c r="D158" s="105" t="s">
        <v>863</v>
      </c>
      <c r="E158" s="106">
        <v>0</v>
      </c>
      <c r="F158" s="106">
        <v>0</v>
      </c>
      <c r="G158" s="106">
        <v>0</v>
      </c>
      <c r="H158" s="106">
        <v>0</v>
      </c>
      <c r="I158" s="106">
        <v>0</v>
      </c>
      <c r="J158" s="106">
        <v>0</v>
      </c>
      <c r="K158" s="106">
        <v>0</v>
      </c>
      <c r="L158" s="106">
        <v>0</v>
      </c>
      <c r="M158" s="106">
        <v>0</v>
      </c>
      <c r="N158" s="106">
        <v>0</v>
      </c>
      <c r="O158" s="106">
        <v>0</v>
      </c>
      <c r="P158" s="106">
        <v>0</v>
      </c>
      <c r="Q158" s="106">
        <v>0</v>
      </c>
      <c r="R158" s="106">
        <v>0</v>
      </c>
      <c r="S158" s="106">
        <v>0</v>
      </c>
      <c r="T158" s="106"/>
      <c r="U158" s="106" t="s">
        <v>868</v>
      </c>
      <c r="V158" s="106" t="s">
        <v>868</v>
      </c>
      <c r="W158" s="106" t="s">
        <v>868</v>
      </c>
      <c r="X158" s="106" t="s">
        <v>868</v>
      </c>
      <c r="Y158" s="106" t="s">
        <v>868</v>
      </c>
      <c r="Z158" s="150" t="s">
        <v>868</v>
      </c>
      <c r="AA158" s="106" t="s">
        <v>868</v>
      </c>
      <c r="AB158" s="106" t="s">
        <v>868</v>
      </c>
    </row>
    <row r="159" spans="1:29" x14ac:dyDescent="0.2">
      <c r="A159" s="104" t="s">
        <v>729</v>
      </c>
      <c r="B159" s="104">
        <v>1368</v>
      </c>
      <c r="C159" s="104" t="s">
        <v>942</v>
      </c>
      <c r="D159" s="105" t="s">
        <v>869</v>
      </c>
      <c r="E159" s="106">
        <v>1650</v>
      </c>
      <c r="F159" s="106">
        <v>1686</v>
      </c>
      <c r="G159" s="106">
        <v>1722</v>
      </c>
      <c r="H159" s="106">
        <v>1752</v>
      </c>
      <c r="I159" s="106">
        <v>1772</v>
      </c>
      <c r="J159" s="106">
        <v>1752</v>
      </c>
      <c r="K159" s="106">
        <v>1876</v>
      </c>
      <c r="L159" s="106">
        <v>0</v>
      </c>
      <c r="M159" s="106">
        <v>1838</v>
      </c>
      <c r="N159" s="106">
        <v>1810</v>
      </c>
      <c r="O159" s="106">
        <v>1825</v>
      </c>
      <c r="P159" s="106">
        <v>1797</v>
      </c>
      <c r="Q159" s="106">
        <v>1764</v>
      </c>
      <c r="R159" s="106">
        <v>1811</v>
      </c>
      <c r="S159" s="106">
        <v>1732</v>
      </c>
      <c r="T159" s="106">
        <v>1800</v>
      </c>
      <c r="U159" s="106">
        <v>1829</v>
      </c>
      <c r="V159" s="106">
        <v>1852</v>
      </c>
      <c r="W159" s="106">
        <v>1886</v>
      </c>
      <c r="X159" s="106">
        <v>1920</v>
      </c>
      <c r="Y159" s="106">
        <v>2144</v>
      </c>
      <c r="Z159" s="150">
        <v>2120</v>
      </c>
      <c r="AA159" s="150">
        <v>2150</v>
      </c>
      <c r="AB159" s="150">
        <v>2368</v>
      </c>
    </row>
    <row r="160" spans="1:29" x14ac:dyDescent="0.2">
      <c r="A160" s="104" t="s">
        <v>729</v>
      </c>
      <c r="B160" s="104">
        <v>2622</v>
      </c>
      <c r="C160" s="104" t="s">
        <v>943</v>
      </c>
      <c r="D160" s="105" t="s">
        <v>869</v>
      </c>
      <c r="E160" s="106">
        <v>1073</v>
      </c>
      <c r="F160" s="106">
        <v>1081</v>
      </c>
      <c r="G160" s="106">
        <v>1088</v>
      </c>
      <c r="H160" s="106">
        <v>1097</v>
      </c>
      <c r="I160" s="106">
        <v>0</v>
      </c>
      <c r="J160" s="106">
        <v>0</v>
      </c>
      <c r="K160" s="106">
        <v>0</v>
      </c>
      <c r="L160" s="106">
        <v>0</v>
      </c>
      <c r="M160" s="106">
        <v>0</v>
      </c>
      <c r="N160" s="106">
        <v>955</v>
      </c>
      <c r="O160" s="106">
        <v>960</v>
      </c>
      <c r="P160" s="106">
        <v>963</v>
      </c>
      <c r="Q160" s="106">
        <v>939</v>
      </c>
      <c r="R160" s="106">
        <v>1030</v>
      </c>
      <c r="S160" s="106">
        <v>1030</v>
      </c>
      <c r="T160" s="106">
        <v>1030</v>
      </c>
      <c r="U160" s="106" t="s">
        <v>868</v>
      </c>
      <c r="V160" s="106" t="s">
        <v>868</v>
      </c>
      <c r="W160" s="106" t="s">
        <v>868</v>
      </c>
      <c r="X160" s="106" t="s">
        <v>868</v>
      </c>
      <c r="Y160" s="106" t="s">
        <v>868</v>
      </c>
      <c r="Z160" s="150" t="s">
        <v>868</v>
      </c>
      <c r="AA160" s="106" t="s">
        <v>868</v>
      </c>
      <c r="AB160" s="106" t="s">
        <v>868</v>
      </c>
    </row>
    <row r="161" spans="1:29" x14ac:dyDescent="0.2">
      <c r="A161" s="104" t="s">
        <v>729</v>
      </c>
      <c r="B161" s="104">
        <v>6519</v>
      </c>
      <c r="C161" s="104" t="s">
        <v>733</v>
      </c>
      <c r="D161" s="105" t="s">
        <v>869</v>
      </c>
      <c r="E161" s="106">
        <v>722</v>
      </c>
      <c r="F161" s="106">
        <v>732</v>
      </c>
      <c r="G161" s="106">
        <v>750</v>
      </c>
      <c r="H161" s="106">
        <v>759</v>
      </c>
      <c r="I161" s="106">
        <v>0</v>
      </c>
      <c r="J161" s="106">
        <v>794</v>
      </c>
      <c r="K161" s="106">
        <v>801</v>
      </c>
      <c r="L161" s="106">
        <v>0</v>
      </c>
      <c r="M161" s="106">
        <v>812</v>
      </c>
      <c r="N161" s="106">
        <v>1124</v>
      </c>
      <c r="O161" s="106">
        <v>1118</v>
      </c>
      <c r="P161" s="106">
        <v>1116</v>
      </c>
      <c r="Q161" s="106">
        <v>1128</v>
      </c>
      <c r="R161" s="106">
        <v>1140</v>
      </c>
      <c r="S161" s="106">
        <v>1116</v>
      </c>
      <c r="T161" s="106">
        <v>1118</v>
      </c>
      <c r="U161" s="106">
        <v>1138</v>
      </c>
      <c r="V161" s="106">
        <v>1608</v>
      </c>
      <c r="W161" s="106">
        <v>1612</v>
      </c>
      <c r="X161" s="106">
        <v>1613</v>
      </c>
      <c r="Y161" s="106">
        <v>1626</v>
      </c>
      <c r="Z161" s="150">
        <v>1636</v>
      </c>
      <c r="AA161" s="150">
        <v>1686</v>
      </c>
      <c r="AB161" s="150">
        <v>1791</v>
      </c>
    </row>
    <row r="162" spans="1:29" x14ac:dyDescent="0.2">
      <c r="A162" s="104" t="s">
        <v>729</v>
      </c>
      <c r="B162" s="104">
        <v>7185</v>
      </c>
      <c r="C162" s="104" t="s">
        <v>735</v>
      </c>
      <c r="D162" s="105" t="s">
        <v>869</v>
      </c>
      <c r="E162" s="106">
        <v>0</v>
      </c>
      <c r="F162" s="106">
        <v>0</v>
      </c>
      <c r="G162" s="106">
        <v>0</v>
      </c>
      <c r="H162" s="106">
        <v>0</v>
      </c>
      <c r="I162" s="106">
        <v>0</v>
      </c>
      <c r="J162" s="106">
        <v>0</v>
      </c>
      <c r="K162" s="106">
        <v>0</v>
      </c>
      <c r="L162" s="106">
        <v>0</v>
      </c>
      <c r="M162" s="106">
        <v>0</v>
      </c>
      <c r="N162" s="106">
        <v>0</v>
      </c>
      <c r="O162" s="106">
        <v>382</v>
      </c>
      <c r="P162" s="106">
        <v>382</v>
      </c>
      <c r="Q162" s="106">
        <v>382</v>
      </c>
      <c r="R162" s="106">
        <v>349</v>
      </c>
      <c r="S162" s="106">
        <v>328</v>
      </c>
      <c r="T162" s="106">
        <v>513</v>
      </c>
      <c r="U162" s="106">
        <v>513</v>
      </c>
      <c r="V162" s="106">
        <v>410</v>
      </c>
      <c r="W162" s="106">
        <v>345</v>
      </c>
      <c r="X162" s="106">
        <v>339</v>
      </c>
      <c r="Y162" s="106">
        <v>326</v>
      </c>
      <c r="Z162" s="150">
        <v>400</v>
      </c>
      <c r="AA162" s="150">
        <v>442</v>
      </c>
      <c r="AB162" s="150">
        <v>923</v>
      </c>
    </row>
    <row r="163" spans="1:29" x14ac:dyDescent="0.2">
      <c r="A163" s="104" t="s">
        <v>729</v>
      </c>
      <c r="B163" s="104">
        <v>7799</v>
      </c>
      <c r="C163" s="104" t="s">
        <v>944</v>
      </c>
      <c r="D163" s="105" t="s">
        <v>869</v>
      </c>
      <c r="E163" s="106" t="s">
        <v>868</v>
      </c>
      <c r="F163" s="106" t="s">
        <v>868</v>
      </c>
      <c r="G163" s="106" t="s">
        <v>868</v>
      </c>
      <c r="H163" s="106" t="s">
        <v>868</v>
      </c>
      <c r="I163" s="106" t="s">
        <v>868</v>
      </c>
      <c r="J163" s="106" t="s">
        <v>868</v>
      </c>
      <c r="K163" s="106" t="s">
        <v>868</v>
      </c>
      <c r="L163" s="106" t="s">
        <v>868</v>
      </c>
      <c r="M163" s="106" t="s">
        <v>868</v>
      </c>
      <c r="N163" s="106" t="s">
        <v>868</v>
      </c>
      <c r="O163" s="106" t="s">
        <v>868</v>
      </c>
      <c r="P163" s="106">
        <v>335</v>
      </c>
      <c r="Q163" s="106" t="s">
        <v>868</v>
      </c>
      <c r="R163" s="106" t="s">
        <v>868</v>
      </c>
      <c r="S163" s="106" t="s">
        <v>868</v>
      </c>
      <c r="T163" s="106" t="s">
        <v>868</v>
      </c>
      <c r="U163" s="106" t="s">
        <v>868</v>
      </c>
      <c r="V163" s="106" t="s">
        <v>868</v>
      </c>
      <c r="W163" s="106" t="s">
        <v>868</v>
      </c>
      <c r="X163" s="106" t="s">
        <v>868</v>
      </c>
      <c r="Y163" s="106" t="s">
        <v>868</v>
      </c>
      <c r="Z163" s="150" t="s">
        <v>868</v>
      </c>
      <c r="AA163" s="106" t="s">
        <v>868</v>
      </c>
      <c r="AB163" s="106" t="s">
        <v>868</v>
      </c>
    </row>
    <row r="164" spans="1:29" x14ac:dyDescent="0.2">
      <c r="A164" s="104" t="s">
        <v>729</v>
      </c>
      <c r="B164" s="104">
        <v>8135</v>
      </c>
      <c r="C164" s="104" t="s">
        <v>945</v>
      </c>
      <c r="D164" s="105" t="s">
        <v>869</v>
      </c>
      <c r="E164" s="106">
        <v>2023</v>
      </c>
      <c r="F164" s="106">
        <v>2301</v>
      </c>
      <c r="G164" s="106">
        <v>2301</v>
      </c>
      <c r="H164" s="106">
        <v>2301</v>
      </c>
      <c r="I164" s="106">
        <v>2414</v>
      </c>
      <c r="J164" s="106">
        <v>2284</v>
      </c>
      <c r="K164" s="106">
        <v>2797</v>
      </c>
      <c r="L164" s="106">
        <v>2893</v>
      </c>
      <c r="M164" s="106">
        <v>2839</v>
      </c>
      <c r="N164" s="106">
        <v>3046</v>
      </c>
      <c r="O164" s="106">
        <v>3541</v>
      </c>
      <c r="P164" s="106">
        <v>3819</v>
      </c>
      <c r="Q164" s="106">
        <v>3501</v>
      </c>
      <c r="R164" s="106">
        <v>3965</v>
      </c>
      <c r="S164" s="106">
        <v>4223</v>
      </c>
      <c r="T164" s="106">
        <v>4549</v>
      </c>
      <c r="U164" s="106">
        <v>5643</v>
      </c>
      <c r="V164" s="106">
        <v>5238</v>
      </c>
      <c r="W164" s="106">
        <v>6672</v>
      </c>
      <c r="X164" s="106">
        <v>5829</v>
      </c>
      <c r="Y164" s="106">
        <v>5259</v>
      </c>
      <c r="Z164" s="150">
        <v>4339</v>
      </c>
      <c r="AA164" s="150">
        <v>4550</v>
      </c>
      <c r="AB164" s="150">
        <v>5553</v>
      </c>
    </row>
    <row r="165" spans="1:29" x14ac:dyDescent="0.2">
      <c r="A165" s="104" t="s">
        <v>729</v>
      </c>
      <c r="B165" s="104">
        <v>8193</v>
      </c>
      <c r="C165" s="104" t="s">
        <v>741</v>
      </c>
      <c r="D165" s="105" t="s">
        <v>869</v>
      </c>
      <c r="E165" s="106" t="s">
        <v>868</v>
      </c>
      <c r="F165" s="106" t="s">
        <v>868</v>
      </c>
      <c r="G165" s="106" t="s">
        <v>868</v>
      </c>
      <c r="H165" s="106" t="s">
        <v>868</v>
      </c>
      <c r="I165" s="106" t="s">
        <v>868</v>
      </c>
      <c r="J165" s="106" t="s">
        <v>868</v>
      </c>
      <c r="K165" s="106" t="s">
        <v>868</v>
      </c>
      <c r="L165" s="106" t="s">
        <v>868</v>
      </c>
      <c r="M165" s="106" t="s">
        <v>868</v>
      </c>
      <c r="N165" s="106" t="s">
        <v>868</v>
      </c>
      <c r="O165" s="106" t="s">
        <v>868</v>
      </c>
      <c r="P165" s="106" t="s">
        <v>868</v>
      </c>
      <c r="Q165" s="106" t="s">
        <v>868</v>
      </c>
      <c r="R165" s="106">
        <v>368</v>
      </c>
      <c r="S165" s="106">
        <v>362</v>
      </c>
      <c r="T165" s="106">
        <v>327</v>
      </c>
      <c r="U165" s="106">
        <v>339</v>
      </c>
      <c r="V165" s="106">
        <v>340</v>
      </c>
      <c r="W165" s="106">
        <v>375</v>
      </c>
      <c r="X165" s="106">
        <v>375</v>
      </c>
      <c r="Y165" s="106">
        <v>376</v>
      </c>
      <c r="Z165" s="150">
        <v>373</v>
      </c>
      <c r="AA165" s="150">
        <v>378</v>
      </c>
      <c r="AB165" s="150">
        <v>378</v>
      </c>
    </row>
    <row r="166" spans="1:29" x14ac:dyDescent="0.2">
      <c r="A166" s="104" t="s">
        <v>729</v>
      </c>
      <c r="B166" s="104">
        <v>12584</v>
      </c>
      <c r="C166" s="104" t="s">
        <v>744</v>
      </c>
      <c r="D166" s="105" t="s">
        <v>869</v>
      </c>
      <c r="E166" s="106" t="s">
        <v>868</v>
      </c>
      <c r="F166" s="106" t="s">
        <v>868</v>
      </c>
      <c r="G166" s="106" t="s">
        <v>868</v>
      </c>
      <c r="H166" s="106" t="s">
        <v>868</v>
      </c>
      <c r="I166" s="106" t="s">
        <v>868</v>
      </c>
      <c r="J166" s="106" t="s">
        <v>868</v>
      </c>
      <c r="K166" s="106" t="s">
        <v>868</v>
      </c>
      <c r="L166" s="106" t="s">
        <v>868</v>
      </c>
      <c r="M166" s="106" t="s">
        <v>868</v>
      </c>
      <c r="N166" s="106" t="s">
        <v>868</v>
      </c>
      <c r="O166" s="106" t="s">
        <v>868</v>
      </c>
      <c r="P166" s="106" t="s">
        <v>868</v>
      </c>
      <c r="Q166" s="106" t="s">
        <v>868</v>
      </c>
      <c r="R166" s="106" t="s">
        <v>868</v>
      </c>
      <c r="S166" s="106" t="s">
        <v>868</v>
      </c>
      <c r="T166" s="106" t="s">
        <v>868</v>
      </c>
      <c r="U166" s="106" t="s">
        <v>868</v>
      </c>
      <c r="V166" s="106" t="s">
        <v>868</v>
      </c>
      <c r="W166" s="106" t="s">
        <v>868</v>
      </c>
      <c r="X166" s="106" t="s">
        <v>868</v>
      </c>
      <c r="Y166" s="106">
        <v>31</v>
      </c>
      <c r="Z166" s="150">
        <v>41</v>
      </c>
      <c r="AA166" s="150">
        <v>41</v>
      </c>
      <c r="AB166" s="150">
        <v>41</v>
      </c>
    </row>
    <row r="167" spans="1:29" x14ac:dyDescent="0.2">
      <c r="A167" s="104" t="s">
        <v>729</v>
      </c>
      <c r="B167" s="104">
        <v>13005</v>
      </c>
      <c r="C167" s="104" t="s">
        <v>946</v>
      </c>
      <c r="D167" s="105" t="s">
        <v>869</v>
      </c>
      <c r="E167" s="106" t="s">
        <v>868</v>
      </c>
      <c r="F167" s="106" t="s">
        <v>868</v>
      </c>
      <c r="G167" s="106" t="s">
        <v>868</v>
      </c>
      <c r="H167" s="106" t="s">
        <v>868</v>
      </c>
      <c r="I167" s="106" t="s">
        <v>868</v>
      </c>
      <c r="J167" s="106">
        <v>17669</v>
      </c>
      <c r="K167" s="106">
        <v>21785</v>
      </c>
      <c r="L167" s="106">
        <v>24946</v>
      </c>
      <c r="M167" s="106">
        <v>27244</v>
      </c>
      <c r="N167" s="106">
        <v>29342</v>
      </c>
      <c r="O167" s="106">
        <v>31534</v>
      </c>
      <c r="P167" s="106">
        <v>33941</v>
      </c>
      <c r="Q167" s="106">
        <v>36416</v>
      </c>
      <c r="R167" s="106">
        <v>39560</v>
      </c>
      <c r="S167" s="106">
        <v>42688</v>
      </c>
      <c r="T167" s="106">
        <v>45057</v>
      </c>
      <c r="U167" s="106">
        <v>47074</v>
      </c>
      <c r="V167" s="106">
        <v>48787</v>
      </c>
      <c r="W167" s="106">
        <v>49636</v>
      </c>
      <c r="X167" s="106">
        <v>49835</v>
      </c>
      <c r="Y167" s="106">
        <v>49931</v>
      </c>
      <c r="Z167" s="150">
        <v>49926</v>
      </c>
      <c r="AA167" s="150">
        <v>49928</v>
      </c>
      <c r="AB167" s="150">
        <v>49926</v>
      </c>
    </row>
    <row r="168" spans="1:29" x14ac:dyDescent="0.2">
      <c r="A168" s="104" t="s">
        <v>729</v>
      </c>
      <c r="B168" s="104">
        <v>13123</v>
      </c>
      <c r="C168" s="145" t="s">
        <v>748</v>
      </c>
      <c r="D168" s="105" t="s">
        <v>869</v>
      </c>
      <c r="E168" s="106" t="s">
        <v>868</v>
      </c>
      <c r="F168" s="106" t="s">
        <v>868</v>
      </c>
      <c r="G168" s="106" t="s">
        <v>868</v>
      </c>
      <c r="H168" s="106" t="s">
        <v>868</v>
      </c>
      <c r="I168" s="106" t="s">
        <v>868</v>
      </c>
      <c r="J168" s="106" t="s">
        <v>868</v>
      </c>
      <c r="K168" s="106" t="s">
        <v>868</v>
      </c>
      <c r="L168" s="106" t="s">
        <v>868</v>
      </c>
      <c r="M168" s="106" t="s">
        <v>868</v>
      </c>
      <c r="N168" s="106" t="s">
        <v>868</v>
      </c>
      <c r="O168" s="106" t="s">
        <v>868</v>
      </c>
      <c r="P168" s="106" t="s">
        <v>868</v>
      </c>
      <c r="Q168" s="106" t="s">
        <v>868</v>
      </c>
      <c r="R168" s="106" t="s">
        <v>868</v>
      </c>
      <c r="S168" s="106" t="s">
        <v>868</v>
      </c>
      <c r="T168" s="106" t="s">
        <v>868</v>
      </c>
      <c r="U168" s="106" t="s">
        <v>868</v>
      </c>
      <c r="V168" s="106" t="s">
        <v>868</v>
      </c>
      <c r="W168" s="106" t="s">
        <v>868</v>
      </c>
      <c r="X168" s="106" t="s">
        <v>868</v>
      </c>
      <c r="Y168" s="106" t="s">
        <v>868</v>
      </c>
      <c r="Z168" s="150" t="s">
        <v>868</v>
      </c>
      <c r="AA168" s="106" t="s">
        <v>868</v>
      </c>
      <c r="AB168" s="106">
        <v>259</v>
      </c>
    </row>
    <row r="169" spans="1:29" x14ac:dyDescent="0.2">
      <c r="A169" s="104" t="s">
        <v>729</v>
      </c>
      <c r="B169" s="98">
        <v>20597</v>
      </c>
      <c r="C169" s="98" t="s">
        <v>947</v>
      </c>
      <c r="D169" s="105" t="s">
        <v>869</v>
      </c>
      <c r="E169" s="106" t="s">
        <v>868</v>
      </c>
      <c r="F169" s="106" t="s">
        <v>868</v>
      </c>
      <c r="G169" s="106" t="s">
        <v>868</v>
      </c>
      <c r="H169" s="106" t="s">
        <v>868</v>
      </c>
      <c r="I169" s="106" t="s">
        <v>868</v>
      </c>
      <c r="J169" s="106" t="s">
        <v>868</v>
      </c>
      <c r="K169" s="106" t="s">
        <v>868</v>
      </c>
      <c r="L169" s="106" t="s">
        <v>868</v>
      </c>
      <c r="M169" s="106" t="s">
        <v>868</v>
      </c>
      <c r="N169" s="106" t="s">
        <v>868</v>
      </c>
      <c r="O169" s="106" t="s">
        <v>868</v>
      </c>
      <c r="P169" s="106" t="s">
        <v>868</v>
      </c>
      <c r="Q169" s="106" t="s">
        <v>868</v>
      </c>
      <c r="R169" s="106" t="s">
        <v>868</v>
      </c>
      <c r="S169" s="106" t="s">
        <v>868</v>
      </c>
      <c r="T169" s="106" t="s">
        <v>868</v>
      </c>
      <c r="U169" s="106">
        <v>1076</v>
      </c>
      <c r="V169" s="106">
        <v>1076</v>
      </c>
      <c r="W169" s="106">
        <v>939</v>
      </c>
      <c r="X169" s="106">
        <v>939</v>
      </c>
      <c r="Y169" s="106">
        <v>932</v>
      </c>
      <c r="Z169" s="150">
        <v>932</v>
      </c>
      <c r="AA169" s="150">
        <v>958</v>
      </c>
      <c r="AB169" s="150" t="s">
        <v>868</v>
      </c>
    </row>
    <row r="170" spans="1:29" x14ac:dyDescent="0.2">
      <c r="A170" s="104" t="s">
        <v>729</v>
      </c>
      <c r="B170" s="1">
        <v>20721</v>
      </c>
      <c r="C170" s="1" t="s">
        <v>750</v>
      </c>
      <c r="D170" s="105" t="s">
        <v>869</v>
      </c>
      <c r="E170" s="106" t="s">
        <v>868</v>
      </c>
      <c r="F170" s="106" t="s">
        <v>868</v>
      </c>
      <c r="G170" s="106" t="s">
        <v>868</v>
      </c>
      <c r="H170" s="106" t="s">
        <v>868</v>
      </c>
      <c r="I170" s="106" t="s">
        <v>868</v>
      </c>
      <c r="J170" s="106" t="s">
        <v>868</v>
      </c>
      <c r="K170" s="106" t="s">
        <v>868</v>
      </c>
      <c r="L170" s="106" t="s">
        <v>868</v>
      </c>
      <c r="M170" s="106" t="s">
        <v>868</v>
      </c>
      <c r="N170" s="106" t="s">
        <v>868</v>
      </c>
      <c r="O170" s="106" t="s">
        <v>868</v>
      </c>
      <c r="P170" s="106" t="s">
        <v>868</v>
      </c>
      <c r="Q170" s="106" t="s">
        <v>868</v>
      </c>
      <c r="R170" s="106" t="s">
        <v>868</v>
      </c>
      <c r="S170" s="106" t="s">
        <v>868</v>
      </c>
      <c r="T170" s="106" t="s">
        <v>868</v>
      </c>
      <c r="U170" s="106" t="s">
        <v>868</v>
      </c>
      <c r="V170" s="106" t="s">
        <v>868</v>
      </c>
      <c r="W170" s="106" t="s">
        <v>868</v>
      </c>
      <c r="X170" s="106">
        <v>915</v>
      </c>
      <c r="Y170" s="106">
        <v>4009</v>
      </c>
      <c r="Z170" s="150">
        <v>7938</v>
      </c>
      <c r="AA170" s="150">
        <v>11571</v>
      </c>
      <c r="AB170" s="150">
        <v>13822</v>
      </c>
    </row>
    <row r="171" spans="1:29" x14ac:dyDescent="0.2">
      <c r="A171" s="94" t="s">
        <v>729</v>
      </c>
      <c r="B171" s="94">
        <v>20901</v>
      </c>
      <c r="C171" s="94" t="s">
        <v>752</v>
      </c>
      <c r="D171" s="144" t="s">
        <v>869</v>
      </c>
      <c r="E171" s="143" t="s">
        <v>868</v>
      </c>
      <c r="F171" s="143" t="s">
        <v>868</v>
      </c>
      <c r="G171" s="143" t="s">
        <v>868</v>
      </c>
      <c r="H171" s="143" t="s">
        <v>868</v>
      </c>
      <c r="I171" s="143" t="s">
        <v>868</v>
      </c>
      <c r="J171" s="143" t="s">
        <v>868</v>
      </c>
      <c r="K171" s="143" t="s">
        <v>868</v>
      </c>
      <c r="L171" s="143" t="s">
        <v>868</v>
      </c>
      <c r="M171" s="143" t="s">
        <v>868</v>
      </c>
      <c r="N171" s="143" t="s">
        <v>868</v>
      </c>
      <c r="O171" s="143" t="s">
        <v>868</v>
      </c>
      <c r="P171" s="143" t="s">
        <v>868</v>
      </c>
      <c r="Q171" s="143" t="s">
        <v>868</v>
      </c>
      <c r="R171" s="143" t="s">
        <v>868</v>
      </c>
      <c r="S171" s="143" t="s">
        <v>868</v>
      </c>
      <c r="T171" s="143" t="s">
        <v>868</v>
      </c>
      <c r="U171" s="143" t="s">
        <v>868</v>
      </c>
      <c r="V171" s="143" t="s">
        <v>868</v>
      </c>
      <c r="W171" s="143" t="s">
        <v>868</v>
      </c>
      <c r="X171" s="143" t="s">
        <v>868</v>
      </c>
      <c r="Y171" s="143" t="s">
        <v>868</v>
      </c>
      <c r="Z171" s="143" t="s">
        <v>868</v>
      </c>
      <c r="AA171" s="143" t="s">
        <v>868</v>
      </c>
      <c r="AB171" s="143">
        <v>266</v>
      </c>
      <c r="AC171" s="142"/>
    </row>
    <row r="172" spans="1:29" x14ac:dyDescent="0.2">
      <c r="AB172" s="142"/>
    </row>
    <row r="173" spans="1:29" x14ac:dyDescent="0.2">
      <c r="AB173" s="142"/>
    </row>
    <row r="174" spans="1:29" x14ac:dyDescent="0.2">
      <c r="AB174" s="142"/>
    </row>
    <row r="175" spans="1:29" x14ac:dyDescent="0.2">
      <c r="AB175" s="142"/>
    </row>
    <row r="176" spans="1:29" x14ac:dyDescent="0.2">
      <c r="AB176" s="142"/>
    </row>
    <row r="177" spans="17:28" x14ac:dyDescent="0.2">
      <c r="AB177" s="142"/>
    </row>
    <row r="178" spans="17:28" x14ac:dyDescent="0.2">
      <c r="AB178" s="142"/>
    </row>
    <row r="179" spans="17:28" x14ac:dyDescent="0.2">
      <c r="AB179" s="142"/>
    </row>
    <row r="180" spans="17:28" x14ac:dyDescent="0.2">
      <c r="AB180" s="142"/>
    </row>
    <row r="181" spans="17:28" x14ac:dyDescent="0.2">
      <c r="AB181" s="142"/>
    </row>
    <row r="182" spans="17:28" x14ac:dyDescent="0.2">
      <c r="AB182" s="142"/>
    </row>
    <row r="183" spans="17:28" x14ac:dyDescent="0.2">
      <c r="AB183" s="142"/>
    </row>
    <row r="184" spans="17:28" x14ac:dyDescent="0.2">
      <c r="AB184" s="142"/>
    </row>
    <row r="185" spans="17:28" x14ac:dyDescent="0.2">
      <c r="AB185" s="142"/>
    </row>
    <row r="186" spans="17:28" x14ac:dyDescent="0.2">
      <c r="AB186" s="142"/>
    </row>
    <row r="187" spans="17:28" x14ac:dyDescent="0.2">
      <c r="Q187"/>
      <c r="AB187" s="142"/>
    </row>
    <row r="188" spans="17:28" x14ac:dyDescent="0.2">
      <c r="Q188"/>
      <c r="AB188" s="142"/>
    </row>
    <row r="189" spans="17:28" x14ac:dyDescent="0.2">
      <c r="Q189"/>
      <c r="AB189" s="142"/>
    </row>
    <row r="190" spans="17:28" x14ac:dyDescent="0.2">
      <c r="Q190"/>
      <c r="AB190" s="142"/>
    </row>
    <row r="191" spans="17:28" x14ac:dyDescent="0.2">
      <c r="Q191"/>
      <c r="AB191" s="142"/>
    </row>
    <row r="192" spans="17:28" x14ac:dyDescent="0.2">
      <c r="Q192"/>
      <c r="AB192" s="142"/>
    </row>
    <row r="193" spans="17:28" x14ac:dyDescent="0.2">
      <c r="Q193"/>
      <c r="AB193" s="142"/>
    </row>
    <row r="194" spans="17:28" x14ac:dyDescent="0.2">
      <c r="Q194"/>
      <c r="AB194" s="142"/>
    </row>
    <row r="195" spans="17:28" x14ac:dyDescent="0.2">
      <c r="Q195"/>
      <c r="AB195" s="142"/>
    </row>
    <row r="196" spans="17:28" x14ac:dyDescent="0.2">
      <c r="Q196"/>
      <c r="AB196" s="142"/>
    </row>
    <row r="197" spans="17:28" x14ac:dyDescent="0.2">
      <c r="Q197"/>
      <c r="AB197" s="142"/>
    </row>
    <row r="198" spans="17:28" x14ac:dyDescent="0.2">
      <c r="Q198"/>
      <c r="AB198" s="142"/>
    </row>
    <row r="199" spans="17:28" x14ac:dyDescent="0.2">
      <c r="Q199"/>
      <c r="AB199" s="142"/>
    </row>
    <row r="200" spans="17:28" x14ac:dyDescent="0.2">
      <c r="Q200"/>
      <c r="AB200" s="142"/>
    </row>
    <row r="201" spans="17:28" x14ac:dyDescent="0.2">
      <c r="Q201"/>
      <c r="AB201" s="142"/>
    </row>
    <row r="202" spans="17:28" x14ac:dyDescent="0.2">
      <c r="Q202"/>
      <c r="AB202" s="142"/>
    </row>
    <row r="203" spans="17:28" x14ac:dyDescent="0.2">
      <c r="Q203"/>
      <c r="AB203" s="142"/>
    </row>
    <row r="204" spans="17:28" x14ac:dyDescent="0.2">
      <c r="Q204"/>
      <c r="AB204" s="142"/>
    </row>
    <row r="205" spans="17:28" x14ac:dyDescent="0.2">
      <c r="Q205"/>
      <c r="AB205" s="142"/>
    </row>
    <row r="206" spans="17:28" x14ac:dyDescent="0.2">
      <c r="Q206"/>
      <c r="AB206" s="142"/>
    </row>
    <row r="207" spans="17:28" x14ac:dyDescent="0.2">
      <c r="Q207"/>
      <c r="AB207" s="142"/>
    </row>
    <row r="208" spans="17:28" x14ac:dyDescent="0.2">
      <c r="Q208"/>
      <c r="AB208" s="142"/>
    </row>
    <row r="209" spans="17:28" x14ac:dyDescent="0.2">
      <c r="Q209"/>
      <c r="AB209" s="142"/>
    </row>
    <row r="210" spans="17:28" x14ac:dyDescent="0.2">
      <c r="Q210"/>
      <c r="AB210" s="142"/>
    </row>
    <row r="211" spans="17:28" x14ac:dyDescent="0.2">
      <c r="Q211"/>
      <c r="AB211" s="142"/>
    </row>
    <row r="212" spans="17:28" x14ac:dyDescent="0.2">
      <c r="Q212"/>
      <c r="AB212" s="142"/>
    </row>
    <row r="213" spans="17:28" x14ac:dyDescent="0.2">
      <c r="Q213"/>
      <c r="AB213" s="142"/>
    </row>
    <row r="214" spans="17:28" x14ac:dyDescent="0.2">
      <c r="Q214"/>
      <c r="AB214" s="142"/>
    </row>
    <row r="215" spans="17:28" x14ac:dyDescent="0.2">
      <c r="Q215"/>
      <c r="AB215" s="142"/>
    </row>
    <row r="216" spans="17:28" x14ac:dyDescent="0.2">
      <c r="Q216"/>
      <c r="AB216" s="142"/>
    </row>
    <row r="217" spans="17:28" x14ac:dyDescent="0.2">
      <c r="Q217"/>
      <c r="AB217" s="142"/>
    </row>
    <row r="218" spans="17:28" x14ac:dyDescent="0.2">
      <c r="Q218"/>
      <c r="AB218" s="142"/>
    </row>
    <row r="219" spans="17:28" x14ac:dyDescent="0.2">
      <c r="Q219"/>
      <c r="AB219" s="142"/>
    </row>
    <row r="220" spans="17:28" x14ac:dyDescent="0.2">
      <c r="Q220"/>
      <c r="AB220" s="142"/>
    </row>
    <row r="221" spans="17:28" x14ac:dyDescent="0.2">
      <c r="Q221"/>
      <c r="AB221" s="142"/>
    </row>
    <row r="222" spans="17:28" x14ac:dyDescent="0.2">
      <c r="Q222"/>
      <c r="AB222" s="142"/>
    </row>
    <row r="223" spans="17:28" x14ac:dyDescent="0.2">
      <c r="Q223"/>
      <c r="AB223" s="142"/>
    </row>
    <row r="224" spans="17:28" x14ac:dyDescent="0.2">
      <c r="Q224"/>
      <c r="AB224" s="142"/>
    </row>
    <row r="225" spans="17:28" x14ac:dyDescent="0.2">
      <c r="Q225"/>
      <c r="AB225" s="142"/>
    </row>
    <row r="226" spans="17:28" x14ac:dyDescent="0.2">
      <c r="Q226"/>
      <c r="AB226" s="142"/>
    </row>
    <row r="227" spans="17:28" x14ac:dyDescent="0.2">
      <c r="Q227"/>
      <c r="AB227" s="142"/>
    </row>
    <row r="228" spans="17:28" x14ac:dyDescent="0.2">
      <c r="Q228"/>
      <c r="AB228" s="142"/>
    </row>
    <row r="229" spans="17:28" x14ac:dyDescent="0.2">
      <c r="Q229"/>
      <c r="AB229" s="142"/>
    </row>
    <row r="230" spans="17:28" x14ac:dyDescent="0.2">
      <c r="Q230"/>
      <c r="AB230" s="142"/>
    </row>
    <row r="231" spans="17:28" x14ac:dyDescent="0.2">
      <c r="Q231"/>
      <c r="AB231" s="142"/>
    </row>
    <row r="232" spans="17:28" x14ac:dyDescent="0.2">
      <c r="Q232"/>
      <c r="AB232" s="142"/>
    </row>
    <row r="233" spans="17:28" x14ac:dyDescent="0.2">
      <c r="Q233"/>
      <c r="AB233" s="142"/>
    </row>
    <row r="234" spans="17:28" x14ac:dyDescent="0.2">
      <c r="Q234"/>
      <c r="AB234" s="142"/>
    </row>
    <row r="235" spans="17:28" x14ac:dyDescent="0.2">
      <c r="Q235"/>
      <c r="AB235" s="142"/>
    </row>
    <row r="236" spans="17:28" x14ac:dyDescent="0.2">
      <c r="Q236"/>
      <c r="AB236" s="142"/>
    </row>
    <row r="237" spans="17:28" x14ac:dyDescent="0.2">
      <c r="Q237"/>
      <c r="AB237" s="142"/>
    </row>
    <row r="238" spans="17:28" x14ac:dyDescent="0.2">
      <c r="Q238"/>
      <c r="AB238" s="142"/>
    </row>
    <row r="239" spans="17:28" x14ac:dyDescent="0.2">
      <c r="Q239"/>
      <c r="AB239" s="142"/>
    </row>
    <row r="240" spans="17:28" x14ac:dyDescent="0.2">
      <c r="Q240"/>
      <c r="AB240" s="142"/>
    </row>
    <row r="241" spans="17:28" x14ac:dyDescent="0.2">
      <c r="Q241"/>
      <c r="AB241" s="142"/>
    </row>
    <row r="242" spans="17:28" x14ac:dyDescent="0.2">
      <c r="Q242"/>
      <c r="AB242" s="142"/>
    </row>
    <row r="243" spans="17:28" x14ac:dyDescent="0.2">
      <c r="Q243"/>
      <c r="AB243" s="142"/>
    </row>
    <row r="244" spans="17:28" x14ac:dyDescent="0.2">
      <c r="Q244"/>
      <c r="AB244" s="142"/>
    </row>
    <row r="245" spans="17:28" x14ac:dyDescent="0.2">
      <c r="Q245"/>
      <c r="AB245" s="142"/>
    </row>
    <row r="246" spans="17:28" x14ac:dyDescent="0.2">
      <c r="Q246"/>
      <c r="AB246" s="142"/>
    </row>
    <row r="247" spans="17:28" x14ac:dyDescent="0.2">
      <c r="Q247"/>
      <c r="AB247" s="142"/>
    </row>
    <row r="248" spans="17:28" x14ac:dyDescent="0.2">
      <c r="Q248"/>
      <c r="AB248" s="142"/>
    </row>
    <row r="249" spans="17:28" x14ac:dyDescent="0.2">
      <c r="Q249"/>
      <c r="AB249" s="142"/>
    </row>
    <row r="250" spans="17:28" x14ac:dyDescent="0.2">
      <c r="Q250"/>
      <c r="AB250" s="142"/>
    </row>
    <row r="251" spans="17:28" x14ac:dyDescent="0.2">
      <c r="Q251"/>
      <c r="AB251" s="142"/>
    </row>
    <row r="252" spans="17:28" x14ac:dyDescent="0.2">
      <c r="Q252"/>
      <c r="AB252" s="142"/>
    </row>
    <row r="253" spans="17:28" x14ac:dyDescent="0.2">
      <c r="Q253"/>
      <c r="AB253" s="142"/>
    </row>
    <row r="254" spans="17:28" x14ac:dyDescent="0.2">
      <c r="Q254"/>
      <c r="AB254" s="142"/>
    </row>
    <row r="255" spans="17:28" x14ac:dyDescent="0.2">
      <c r="Q255"/>
      <c r="AB255" s="142"/>
    </row>
    <row r="256" spans="17:28" x14ac:dyDescent="0.2">
      <c r="Q256"/>
      <c r="AB256" s="142"/>
    </row>
    <row r="257" spans="17:28" x14ac:dyDescent="0.2">
      <c r="Q257"/>
      <c r="AB257" s="142"/>
    </row>
    <row r="258" spans="17:28" x14ac:dyDescent="0.2">
      <c r="Q258"/>
      <c r="AB258" s="142"/>
    </row>
    <row r="259" spans="17:28" x14ac:dyDescent="0.2">
      <c r="Q259"/>
      <c r="AB259" s="142"/>
    </row>
    <row r="260" spans="17:28" x14ac:dyDescent="0.2">
      <c r="Q260"/>
      <c r="AB260" s="142"/>
    </row>
    <row r="261" spans="17:28" x14ac:dyDescent="0.2">
      <c r="Q261"/>
      <c r="AB261" s="142"/>
    </row>
    <row r="262" spans="17:28" x14ac:dyDescent="0.2">
      <c r="Q262"/>
      <c r="AB262" s="142"/>
    </row>
    <row r="263" spans="17:28" x14ac:dyDescent="0.2">
      <c r="Q263"/>
      <c r="AB263" s="142"/>
    </row>
    <row r="264" spans="17:28" x14ac:dyDescent="0.2">
      <c r="Q264"/>
      <c r="AB264" s="142"/>
    </row>
    <row r="265" spans="17:28" x14ac:dyDescent="0.2">
      <c r="Q265"/>
      <c r="AB265" s="142"/>
    </row>
    <row r="266" spans="17:28" x14ac:dyDescent="0.2">
      <c r="Q266"/>
      <c r="AB266" s="142"/>
    </row>
    <row r="267" spans="17:28" x14ac:dyDescent="0.2">
      <c r="Q267"/>
      <c r="AB267" s="142"/>
    </row>
    <row r="268" spans="17:28" x14ac:dyDescent="0.2">
      <c r="Q268"/>
      <c r="AB268" s="142"/>
    </row>
    <row r="269" spans="17:28" x14ac:dyDescent="0.2">
      <c r="Q269"/>
      <c r="AB269" s="142"/>
    </row>
    <row r="270" spans="17:28" x14ac:dyDescent="0.2">
      <c r="Q270"/>
      <c r="AB270" s="142"/>
    </row>
    <row r="271" spans="17:28" x14ac:dyDescent="0.2">
      <c r="Q271"/>
      <c r="AB271" s="142"/>
    </row>
    <row r="272" spans="17:28" x14ac:dyDescent="0.2">
      <c r="Q272"/>
      <c r="AB272" s="142"/>
    </row>
    <row r="273" spans="17:28" x14ac:dyDescent="0.2">
      <c r="Q273"/>
      <c r="AB273" s="142"/>
    </row>
    <row r="274" spans="17:28" x14ac:dyDescent="0.2">
      <c r="Q274"/>
      <c r="AB274" s="142"/>
    </row>
    <row r="275" spans="17:28" x14ac:dyDescent="0.2">
      <c r="Q275"/>
      <c r="AB275" s="142"/>
    </row>
    <row r="276" spans="17:28" x14ac:dyDescent="0.2">
      <c r="Q276"/>
      <c r="AB276" s="142"/>
    </row>
    <row r="277" spans="17:28" x14ac:dyDescent="0.2">
      <c r="Q277"/>
      <c r="AB277" s="142"/>
    </row>
    <row r="278" spans="17:28" x14ac:dyDescent="0.2">
      <c r="Q278"/>
      <c r="AB278" s="142"/>
    </row>
    <row r="279" spans="17:28" x14ac:dyDescent="0.2">
      <c r="Q279"/>
      <c r="AB279" s="142"/>
    </row>
    <row r="280" spans="17:28" x14ac:dyDescent="0.2">
      <c r="Q280"/>
      <c r="AB280" s="142"/>
    </row>
    <row r="281" spans="17:28" x14ac:dyDescent="0.2">
      <c r="Q281"/>
      <c r="AB281" s="142"/>
    </row>
    <row r="282" spans="17:28" x14ac:dyDescent="0.2">
      <c r="Q282"/>
      <c r="AB282" s="142"/>
    </row>
    <row r="283" spans="17:28" x14ac:dyDescent="0.2">
      <c r="Q283"/>
      <c r="AB283" s="142"/>
    </row>
    <row r="284" spans="17:28" x14ac:dyDescent="0.2">
      <c r="Q284"/>
      <c r="AB284" s="142"/>
    </row>
    <row r="285" spans="17:28" x14ac:dyDescent="0.2">
      <c r="Q285"/>
      <c r="AB285" s="142"/>
    </row>
    <row r="286" spans="17:28" x14ac:dyDescent="0.2">
      <c r="Q286"/>
      <c r="AB286" s="142"/>
    </row>
    <row r="287" spans="17:28" x14ac:dyDescent="0.2">
      <c r="Q287"/>
      <c r="AB287" s="142"/>
    </row>
    <row r="288" spans="17:28" x14ac:dyDescent="0.2">
      <c r="Q288"/>
      <c r="AB288" s="142"/>
    </row>
    <row r="289" spans="17:28" x14ac:dyDescent="0.2">
      <c r="Q289"/>
      <c r="AB289" s="142"/>
    </row>
    <row r="290" spans="17:28" x14ac:dyDescent="0.2">
      <c r="Q290"/>
      <c r="AB290" s="142"/>
    </row>
    <row r="291" spans="17:28" x14ac:dyDescent="0.2">
      <c r="Q291"/>
      <c r="AB291" s="142"/>
    </row>
    <row r="292" spans="17:28" x14ac:dyDescent="0.2">
      <c r="Q292"/>
      <c r="AB292" s="142"/>
    </row>
    <row r="293" spans="17:28" x14ac:dyDescent="0.2">
      <c r="Q293"/>
      <c r="AB293" s="142"/>
    </row>
    <row r="294" spans="17:28" x14ac:dyDescent="0.2">
      <c r="Q294"/>
      <c r="AB294" s="142"/>
    </row>
    <row r="295" spans="17:28" x14ac:dyDescent="0.2">
      <c r="Q295"/>
      <c r="AB295" s="142"/>
    </row>
    <row r="296" spans="17:28" x14ac:dyDescent="0.2">
      <c r="Q296"/>
      <c r="AB296" s="142"/>
    </row>
    <row r="297" spans="17:28" x14ac:dyDescent="0.2">
      <c r="Q297"/>
      <c r="AB297" s="142"/>
    </row>
    <row r="298" spans="17:28" x14ac:dyDescent="0.2">
      <c r="Q298"/>
      <c r="AB298" s="142"/>
    </row>
    <row r="299" spans="17:28" x14ac:dyDescent="0.2">
      <c r="Q299"/>
      <c r="AB299" s="142"/>
    </row>
    <row r="300" spans="17:28" x14ac:dyDescent="0.2">
      <c r="Q300"/>
      <c r="AB300" s="142"/>
    </row>
    <row r="301" spans="17:28" x14ac:dyDescent="0.2">
      <c r="Q301"/>
      <c r="AB301" s="142"/>
    </row>
    <row r="302" spans="17:28" x14ac:dyDescent="0.2">
      <c r="Q302"/>
      <c r="AB302" s="142"/>
    </row>
    <row r="303" spans="17:28" x14ac:dyDescent="0.2">
      <c r="Q303"/>
      <c r="AB303" s="142"/>
    </row>
    <row r="304" spans="17:28" x14ac:dyDescent="0.2">
      <c r="Q304"/>
      <c r="AB304" s="142"/>
    </row>
    <row r="305" spans="17:28" x14ac:dyDescent="0.2">
      <c r="Q305"/>
      <c r="AB305" s="142"/>
    </row>
    <row r="306" spans="17:28" x14ac:dyDescent="0.2">
      <c r="Q306"/>
      <c r="AB306" s="142"/>
    </row>
    <row r="307" spans="17:28" x14ac:dyDescent="0.2">
      <c r="Q307"/>
      <c r="AB307" s="142"/>
    </row>
    <row r="308" spans="17:28" x14ac:dyDescent="0.2">
      <c r="Q308"/>
      <c r="AB308" s="142"/>
    </row>
    <row r="309" spans="17:28" x14ac:dyDescent="0.2">
      <c r="Q309"/>
      <c r="AB309" s="142"/>
    </row>
    <row r="310" spans="17:28" x14ac:dyDescent="0.2">
      <c r="Q310"/>
      <c r="AB310" s="142"/>
    </row>
    <row r="311" spans="17:28" x14ac:dyDescent="0.2">
      <c r="Q311"/>
      <c r="AB311" s="142"/>
    </row>
    <row r="312" spans="17:28" x14ac:dyDescent="0.2">
      <c r="Q312"/>
      <c r="AB312" s="142"/>
    </row>
    <row r="313" spans="17:28" x14ac:dyDescent="0.2">
      <c r="Q313"/>
      <c r="AB313" s="142"/>
    </row>
    <row r="314" spans="17:28" x14ac:dyDescent="0.2">
      <c r="Q314"/>
      <c r="AB314" s="142"/>
    </row>
    <row r="315" spans="17:28" x14ac:dyDescent="0.2">
      <c r="Q315"/>
      <c r="AB315" s="142"/>
    </row>
    <row r="316" spans="17:28" x14ac:dyDescent="0.2">
      <c r="Q316"/>
      <c r="AB316" s="142"/>
    </row>
    <row r="317" spans="17:28" x14ac:dyDescent="0.2">
      <c r="Q317"/>
      <c r="AB317" s="142"/>
    </row>
    <row r="318" spans="17:28" x14ac:dyDescent="0.2">
      <c r="Q318"/>
      <c r="AB318" s="142"/>
    </row>
    <row r="319" spans="17:28" x14ac:dyDescent="0.2">
      <c r="Q319"/>
      <c r="AB319" s="142"/>
    </row>
    <row r="320" spans="17:28" x14ac:dyDescent="0.2">
      <c r="Q320"/>
      <c r="AB320" s="142"/>
    </row>
    <row r="321" spans="17:28" x14ac:dyDescent="0.2">
      <c r="Q321"/>
      <c r="AB321" s="142"/>
    </row>
    <row r="322" spans="17:28" x14ac:dyDescent="0.2">
      <c r="Q322"/>
      <c r="AB322" s="142"/>
    </row>
    <row r="323" spans="17:28" x14ac:dyDescent="0.2">
      <c r="Q323"/>
      <c r="AB323" s="142"/>
    </row>
    <row r="324" spans="17:28" x14ac:dyDescent="0.2">
      <c r="Q324"/>
      <c r="AB324" s="142"/>
    </row>
    <row r="325" spans="17:28" x14ac:dyDescent="0.2">
      <c r="Q325"/>
      <c r="AB325" s="142"/>
    </row>
    <row r="326" spans="17:28" x14ac:dyDescent="0.2">
      <c r="Q326"/>
      <c r="AB326" s="142"/>
    </row>
    <row r="327" spans="17:28" x14ac:dyDescent="0.2">
      <c r="Q327"/>
      <c r="AB327" s="142"/>
    </row>
    <row r="328" spans="17:28" x14ac:dyDescent="0.2">
      <c r="Q328"/>
      <c r="AB328" s="142"/>
    </row>
    <row r="329" spans="17:28" x14ac:dyDescent="0.2">
      <c r="Q329"/>
      <c r="AB329" s="142"/>
    </row>
    <row r="330" spans="17:28" x14ac:dyDescent="0.2">
      <c r="Q330"/>
      <c r="AB330" s="142"/>
    </row>
  </sheetData>
  <autoFilter ref="A4:Y170" xr:uid="{DAB4A5BD-B63A-4730-9B95-F4DA5639CDB1}">
    <sortState xmlns:xlrd2="http://schemas.microsoft.com/office/spreadsheetml/2017/richdata2" ref="A5:Y168">
      <sortCondition ref="A4"/>
    </sortState>
  </autoFilter>
  <conditionalFormatting sqref="A169">
    <cfRule type="expression" dxfId="18" priority="105" stopIfTrue="1">
      <formula>MOD(ROW(),2)=0</formula>
    </cfRule>
  </conditionalFormatting>
  <conditionalFormatting sqref="A25:S124">
    <cfRule type="expression" dxfId="17" priority="102" stopIfTrue="1">
      <formula>MOD(ROW(),2)=0</formula>
    </cfRule>
  </conditionalFormatting>
  <conditionalFormatting sqref="A167:T168">
    <cfRule type="expression" dxfId="16" priority="23" stopIfTrue="1">
      <formula>MOD(ROW(),2)=0</formula>
    </cfRule>
  </conditionalFormatting>
  <conditionalFormatting sqref="A125:W166">
    <cfRule type="expression" dxfId="15" priority="21" stopIfTrue="1">
      <formula>MOD(ROW(),2)=0</formula>
    </cfRule>
  </conditionalFormatting>
  <conditionalFormatting sqref="A5:AA24 T25:X44 Y25:Y58 T46:X58">
    <cfRule type="expression" dxfId="14" priority="73" stopIfTrue="1">
      <formula>MOD(ROW(),2)=0</formula>
    </cfRule>
  </conditionalFormatting>
  <conditionalFormatting sqref="A4:AB4">
    <cfRule type="expression" dxfId="13" priority="81" stopIfTrue="1">
      <formula>MOD(ROW(),2)=0</formula>
    </cfRule>
  </conditionalFormatting>
  <conditionalFormatting sqref="B169:C169">
    <cfRule type="expression" dxfId="12" priority="76">
      <formula>MOD(ROW(),2)=0</formula>
    </cfRule>
  </conditionalFormatting>
  <conditionalFormatting sqref="D169:T169">
    <cfRule type="expression" dxfId="11" priority="100" stopIfTrue="1">
      <formula>MOD(ROW(),2)=0</formula>
    </cfRule>
  </conditionalFormatting>
  <conditionalFormatting sqref="T60:W124">
    <cfRule type="expression" dxfId="10" priority="82" stopIfTrue="1">
      <formula>MOD(ROW(),2)=0</formula>
    </cfRule>
  </conditionalFormatting>
  <conditionalFormatting sqref="U167:W171 A170:T170 D171:AB171">
    <cfRule type="expression" dxfId="9" priority="79" stopIfTrue="1">
      <formula>MOD(ROW(),2)=0</formula>
    </cfRule>
  </conditionalFormatting>
  <conditionalFormatting sqref="W125">
    <cfRule type="expression" dxfId="8" priority="78" stopIfTrue="1">
      <formula>MOD(ROW(),2)=0</formula>
    </cfRule>
  </conditionalFormatting>
  <conditionalFormatting sqref="W158:W165">
    <cfRule type="expression" dxfId="7" priority="80" stopIfTrue="1">
      <formula>MOD(ROW(),2)=0</formula>
    </cfRule>
  </conditionalFormatting>
  <conditionalFormatting sqref="X60:Y159">
    <cfRule type="expression" dxfId="6" priority="70" stopIfTrue="1">
      <formula>MOD(ROW(),2)=0</formula>
    </cfRule>
  </conditionalFormatting>
  <conditionalFormatting sqref="X160:AA171">
    <cfRule type="expression" dxfId="5" priority="41" stopIfTrue="1">
      <formula>MOD(ROW(),2)=0</formula>
    </cfRule>
  </conditionalFormatting>
  <conditionalFormatting sqref="Z25:AA146 Z147:Z148 AA148 Z149:AA159">
    <cfRule type="expression" dxfId="4" priority="45" stopIfTrue="1">
      <formula>MOD(ROW(),2)=0</formula>
    </cfRule>
  </conditionalFormatting>
  <conditionalFormatting sqref="AA147:AB147">
    <cfRule type="expression" dxfId="3" priority="32" stopIfTrue="1">
      <formula>MOD(ROW(),2)=0</formula>
    </cfRule>
  </conditionalFormatting>
  <conditionalFormatting sqref="AB5:AB146">
    <cfRule type="expression" dxfId="2" priority="1" stopIfTrue="1">
      <formula>MOD(ROW(),2)=0</formula>
    </cfRule>
  </conditionalFormatting>
  <conditionalFormatting sqref="AB148:AB171">
    <cfRule type="expression" dxfId="1" priority="31" stopIfTrue="1">
      <formula>MOD(ROW(),2)=0</formula>
    </cfRule>
  </conditionalFormatting>
  <pageMargins left="0.75" right="0.75" top="1" bottom="1" header="0.5" footer="0.5"/>
  <pageSetup orientation="landscape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A191"/>
  <sheetViews>
    <sheetView zoomScale="90" zoomScaleNormal="90" workbookViewId="0"/>
  </sheetViews>
  <sheetFormatPr defaultRowHeight="14.25" x14ac:dyDescent="0.2"/>
  <cols>
    <col min="1" max="1" width="31.25" bestFit="1" customWidth="1"/>
    <col min="2" max="2" width="11.125" bestFit="1" customWidth="1"/>
    <col min="3" max="3" width="77.375" bestFit="1" customWidth="1"/>
    <col min="4" max="4" width="14.5" customWidth="1"/>
    <col min="5" max="27" width="10.625" customWidth="1"/>
  </cols>
  <sheetData>
    <row r="1" spans="1:27" ht="20.25" x14ac:dyDescent="0.3">
      <c r="A1" s="107" t="s">
        <v>948</v>
      </c>
      <c r="B1" s="108"/>
      <c r="C1" s="107"/>
      <c r="D1" s="107"/>
    </row>
    <row r="2" spans="1:27" ht="20.25" x14ac:dyDescent="0.3">
      <c r="A2" s="100" t="s">
        <v>858</v>
      </c>
      <c r="B2" s="101"/>
      <c r="C2" s="102">
        <v>45671</v>
      </c>
      <c r="D2" s="107">
        <v>3</v>
      </c>
      <c r="E2" s="107">
        <v>4</v>
      </c>
      <c r="F2" s="107">
        <v>5</v>
      </c>
      <c r="G2" s="107">
        <v>6</v>
      </c>
      <c r="H2" s="107">
        <v>7</v>
      </c>
      <c r="I2" s="107">
        <v>8</v>
      </c>
      <c r="J2" s="107">
        <v>9</v>
      </c>
      <c r="K2" s="107">
        <v>10</v>
      </c>
      <c r="L2" s="107">
        <v>11</v>
      </c>
      <c r="M2" s="107">
        <v>12</v>
      </c>
      <c r="N2" s="107">
        <v>13</v>
      </c>
      <c r="O2" s="107">
        <v>14</v>
      </c>
      <c r="P2" s="107">
        <v>15</v>
      </c>
      <c r="Q2" s="107">
        <v>16</v>
      </c>
      <c r="R2" s="107">
        <v>17</v>
      </c>
      <c r="S2" s="107">
        <v>18</v>
      </c>
      <c r="T2" s="107">
        <v>19</v>
      </c>
      <c r="U2" s="107">
        <v>20</v>
      </c>
      <c r="V2" s="107">
        <v>21</v>
      </c>
      <c r="W2" s="107">
        <v>22</v>
      </c>
      <c r="X2" s="107">
        <v>23</v>
      </c>
      <c r="Y2" s="107">
        <v>24</v>
      </c>
      <c r="Z2" s="107">
        <v>25</v>
      </c>
      <c r="AA2" s="107">
        <v>26</v>
      </c>
    </row>
    <row r="3" spans="1:27" ht="20.25" x14ac:dyDescent="0.3">
      <c r="A3" s="109" t="s">
        <v>323</v>
      </c>
      <c r="B3" s="109" t="s">
        <v>949</v>
      </c>
      <c r="C3" s="109" t="s">
        <v>950</v>
      </c>
      <c r="D3" s="108"/>
      <c r="E3" s="110" t="s">
        <v>951</v>
      </c>
      <c r="F3" s="111" t="s">
        <v>951</v>
      </c>
      <c r="G3" s="110" t="s">
        <v>951</v>
      </c>
      <c r="H3" s="110" t="s">
        <v>951</v>
      </c>
      <c r="I3" s="110" t="s">
        <v>951</v>
      </c>
      <c r="J3" s="110" t="s">
        <v>951</v>
      </c>
      <c r="K3" s="110" t="s">
        <v>951</v>
      </c>
      <c r="L3" s="110" t="s">
        <v>951</v>
      </c>
      <c r="M3" s="110" t="s">
        <v>951</v>
      </c>
      <c r="N3" s="110" t="s">
        <v>951</v>
      </c>
      <c r="O3" s="110" t="s">
        <v>951</v>
      </c>
      <c r="P3" s="110" t="s">
        <v>951</v>
      </c>
      <c r="Q3" s="110" t="s">
        <v>951</v>
      </c>
      <c r="R3" s="110" t="s">
        <v>951</v>
      </c>
      <c r="S3" s="110" t="s">
        <v>951</v>
      </c>
      <c r="T3" s="110" t="s">
        <v>951</v>
      </c>
      <c r="U3" s="110" t="s">
        <v>951</v>
      </c>
      <c r="V3" s="110" t="s">
        <v>951</v>
      </c>
      <c r="W3" s="110" t="s">
        <v>951</v>
      </c>
      <c r="X3" s="110" t="s">
        <v>951</v>
      </c>
      <c r="Y3" s="110" t="s">
        <v>951</v>
      </c>
      <c r="Z3" s="110" t="s">
        <v>951</v>
      </c>
      <c r="AA3" s="110" t="s">
        <v>951</v>
      </c>
    </row>
    <row r="4" spans="1:27" ht="20.25" x14ac:dyDescent="0.3">
      <c r="A4" s="108"/>
      <c r="B4" s="108" t="s">
        <v>952</v>
      </c>
      <c r="C4" s="108" t="s">
        <v>953</v>
      </c>
      <c r="D4" s="152" t="s">
        <v>861</v>
      </c>
      <c r="E4" s="112">
        <v>2001</v>
      </c>
      <c r="F4" s="112">
        <v>2002</v>
      </c>
      <c r="G4" s="110">
        <v>2003</v>
      </c>
      <c r="H4" s="110">
        <v>2004</v>
      </c>
      <c r="I4" s="110">
        <v>2005</v>
      </c>
      <c r="J4" s="110">
        <v>2006</v>
      </c>
      <c r="K4" s="110">
        <v>2007</v>
      </c>
      <c r="L4" s="110">
        <v>2008</v>
      </c>
      <c r="M4" s="110">
        <v>2009</v>
      </c>
      <c r="N4" s="110">
        <v>2010</v>
      </c>
      <c r="O4" s="110">
        <v>2011</v>
      </c>
      <c r="P4" s="110">
        <v>2012</v>
      </c>
      <c r="Q4" s="110">
        <v>2013</v>
      </c>
      <c r="R4" s="110">
        <v>2014</v>
      </c>
      <c r="S4" s="110">
        <v>2015</v>
      </c>
      <c r="T4" s="110">
        <v>2016</v>
      </c>
      <c r="U4" s="110">
        <v>2017</v>
      </c>
      <c r="V4" s="110">
        <v>2018</v>
      </c>
      <c r="W4" s="110">
        <v>2019</v>
      </c>
      <c r="X4" s="110">
        <v>2020</v>
      </c>
      <c r="Y4" s="110">
        <v>2021</v>
      </c>
      <c r="Z4" s="110">
        <v>2022</v>
      </c>
      <c r="AA4" s="110">
        <v>2023</v>
      </c>
    </row>
    <row r="5" spans="1:27" ht="15" x14ac:dyDescent="0.2">
      <c r="A5" s="113" t="s">
        <v>337</v>
      </c>
      <c r="B5" s="114">
        <v>718</v>
      </c>
      <c r="C5" s="113" t="s">
        <v>862</v>
      </c>
      <c r="D5" s="113" t="s">
        <v>863</v>
      </c>
      <c r="E5" s="115">
        <v>3739</v>
      </c>
      <c r="F5" s="115">
        <v>3744</v>
      </c>
      <c r="G5" s="115">
        <v>3585</v>
      </c>
      <c r="H5" s="115">
        <v>3599</v>
      </c>
      <c r="I5" s="115">
        <v>3602</v>
      </c>
      <c r="J5" s="115">
        <v>3623</v>
      </c>
      <c r="K5" s="115">
        <v>4735</v>
      </c>
      <c r="L5" s="115">
        <v>4421</v>
      </c>
      <c r="M5" s="115">
        <v>5893</v>
      </c>
      <c r="N5" s="115">
        <v>5834</v>
      </c>
      <c r="O5" s="115">
        <v>5832</v>
      </c>
      <c r="P5" s="115">
        <v>5885</v>
      </c>
      <c r="Q5" s="116">
        <v>5896</v>
      </c>
      <c r="R5" s="116">
        <v>5953</v>
      </c>
      <c r="S5" s="116">
        <v>6056</v>
      </c>
      <c r="T5" s="116">
        <v>6096</v>
      </c>
      <c r="U5" s="116">
        <v>6091</v>
      </c>
      <c r="V5" s="116">
        <v>6092</v>
      </c>
      <c r="W5" s="128">
        <v>6143</v>
      </c>
      <c r="X5" s="128">
        <v>6150</v>
      </c>
      <c r="Y5" s="128">
        <v>6254</v>
      </c>
      <c r="Z5" s="128">
        <v>6354</v>
      </c>
      <c r="AA5" s="151">
        <v>6605</v>
      </c>
    </row>
    <row r="6" spans="1:27" ht="15" x14ac:dyDescent="0.2">
      <c r="A6" s="113" t="s">
        <v>337</v>
      </c>
      <c r="B6" s="114">
        <v>871</v>
      </c>
      <c r="C6" s="113" t="s">
        <v>864</v>
      </c>
      <c r="D6" s="113" t="s">
        <v>863</v>
      </c>
      <c r="E6" s="115">
        <v>27758</v>
      </c>
      <c r="F6" s="115">
        <v>27514</v>
      </c>
      <c r="G6" s="115">
        <v>29622</v>
      </c>
      <c r="H6" s="115">
        <v>30297</v>
      </c>
      <c r="I6" s="115">
        <v>31718</v>
      </c>
      <c r="J6" s="115">
        <v>33713</v>
      </c>
      <c r="K6" s="115">
        <v>34767</v>
      </c>
      <c r="L6" s="115">
        <v>35897</v>
      </c>
      <c r="M6" s="115">
        <v>35839</v>
      </c>
      <c r="N6" s="115">
        <v>35760</v>
      </c>
      <c r="O6" s="115">
        <v>36305</v>
      </c>
      <c r="P6" s="115">
        <v>35950.259140130955</v>
      </c>
      <c r="Q6" s="116">
        <v>35175.953511056512</v>
      </c>
      <c r="R6" s="116">
        <v>35414</v>
      </c>
      <c r="S6" s="116">
        <v>35857</v>
      </c>
      <c r="T6" s="116">
        <v>36302</v>
      </c>
      <c r="U6" s="116">
        <v>37354.975893194409</v>
      </c>
      <c r="V6" s="116">
        <v>38701.687814777062</v>
      </c>
      <c r="W6" s="128">
        <v>39177.434921810091</v>
      </c>
      <c r="X6" s="128">
        <v>39874.635999718826</v>
      </c>
      <c r="Y6" s="128">
        <v>40211</v>
      </c>
      <c r="Z6" s="128">
        <v>41388</v>
      </c>
      <c r="AA6" s="151">
        <v>41581.994965262493</v>
      </c>
    </row>
    <row r="7" spans="1:27" ht="15" x14ac:dyDescent="0.2">
      <c r="A7" s="113" t="s">
        <v>337</v>
      </c>
      <c r="B7" s="114">
        <v>1512</v>
      </c>
      <c r="C7" s="113" t="s">
        <v>865</v>
      </c>
      <c r="D7" s="113" t="s">
        <v>863</v>
      </c>
      <c r="E7" s="115">
        <v>4751</v>
      </c>
      <c r="F7" s="115">
        <v>4866</v>
      </c>
      <c r="G7" s="115">
        <v>5469</v>
      </c>
      <c r="H7" s="115">
        <v>5469</v>
      </c>
      <c r="I7" s="115">
        <v>4607</v>
      </c>
      <c r="J7" s="115">
        <v>4934</v>
      </c>
      <c r="K7" s="115">
        <v>5060</v>
      </c>
      <c r="L7" s="115">
        <v>4890</v>
      </c>
      <c r="M7" s="115">
        <v>4178</v>
      </c>
      <c r="N7" s="115">
        <v>4176</v>
      </c>
      <c r="O7" s="115">
        <v>4380.4449617355376</v>
      </c>
      <c r="P7" s="115">
        <v>4540.9448296741921</v>
      </c>
      <c r="Q7" s="116">
        <v>4377.5870852551443</v>
      </c>
      <c r="R7" s="116">
        <v>3477</v>
      </c>
      <c r="S7" s="116">
        <v>3559</v>
      </c>
      <c r="T7" s="116">
        <v>3595</v>
      </c>
      <c r="U7" s="116">
        <v>4544.4529262622973</v>
      </c>
      <c r="V7" s="116">
        <v>4482.8190974594509</v>
      </c>
      <c r="W7" s="128">
        <v>4559.0706540142537</v>
      </c>
      <c r="X7" s="128">
        <v>4563.7174754602956</v>
      </c>
      <c r="Y7" s="128">
        <v>4576</v>
      </c>
      <c r="Z7" s="128">
        <v>4688</v>
      </c>
      <c r="AA7" s="151">
        <v>4722.0632498733148</v>
      </c>
    </row>
    <row r="8" spans="1:27" ht="15" x14ac:dyDescent="0.2">
      <c r="A8" s="113" t="s">
        <v>337</v>
      </c>
      <c r="B8" s="114">
        <v>3522</v>
      </c>
      <c r="C8" s="113" t="s">
        <v>345</v>
      </c>
      <c r="D8" s="113" t="s">
        <v>863</v>
      </c>
      <c r="E8" s="115">
        <v>3194</v>
      </c>
      <c r="F8" s="115">
        <v>4375</v>
      </c>
      <c r="G8" s="115">
        <v>4600</v>
      </c>
      <c r="H8" s="115">
        <v>5297</v>
      </c>
      <c r="I8" s="115">
        <v>5662</v>
      </c>
      <c r="J8" s="115">
        <v>5415</v>
      </c>
      <c r="K8" s="115">
        <v>6120</v>
      </c>
      <c r="L8" s="115">
        <v>6151</v>
      </c>
      <c r="M8" s="115">
        <v>6167</v>
      </c>
      <c r="N8" s="115">
        <v>6422</v>
      </c>
      <c r="O8" s="115">
        <v>6153</v>
      </c>
      <c r="P8" s="115">
        <v>6517.9797562906797</v>
      </c>
      <c r="Q8" s="116">
        <v>6700.2963327555008</v>
      </c>
      <c r="R8" s="116">
        <v>6843</v>
      </c>
      <c r="S8" s="116">
        <v>6826</v>
      </c>
      <c r="T8" s="116">
        <v>6794</v>
      </c>
      <c r="U8" s="116">
        <v>6873.229435143</v>
      </c>
      <c r="V8" s="116">
        <v>7017.0118396035014</v>
      </c>
      <c r="W8" s="128">
        <v>7186.1919714080304</v>
      </c>
      <c r="X8" s="128">
        <v>6940.5756350687543</v>
      </c>
      <c r="Y8" s="128">
        <v>7383</v>
      </c>
      <c r="Z8" s="128">
        <v>8132</v>
      </c>
      <c r="AA8" s="151">
        <v>9085.5663416926327</v>
      </c>
    </row>
    <row r="9" spans="1:27" ht="15" x14ac:dyDescent="0.2">
      <c r="A9" s="113" t="s">
        <v>337</v>
      </c>
      <c r="B9" s="114">
        <v>7104</v>
      </c>
      <c r="C9" s="113" t="s">
        <v>866</v>
      </c>
      <c r="D9" s="113" t="s">
        <v>863</v>
      </c>
      <c r="E9" s="115">
        <v>68714</v>
      </c>
      <c r="F9" s="115">
        <v>71877</v>
      </c>
      <c r="G9" s="115">
        <v>85008</v>
      </c>
      <c r="H9" s="115">
        <v>86557</v>
      </c>
      <c r="I9" s="115">
        <v>87977</v>
      </c>
      <c r="J9" s="115">
        <v>120613</v>
      </c>
      <c r="K9" s="115">
        <v>125648</v>
      </c>
      <c r="L9" s="115">
        <v>118644</v>
      </c>
      <c r="M9" s="115">
        <v>122515</v>
      </c>
      <c r="N9" s="115">
        <v>119970</v>
      </c>
      <c r="O9" s="115">
        <v>119991.59485808192</v>
      </c>
      <c r="P9" s="115">
        <v>123431.99302090958</v>
      </c>
      <c r="Q9" s="116">
        <v>123885.25858577561</v>
      </c>
      <c r="R9" s="116">
        <v>124637</v>
      </c>
      <c r="S9" s="116">
        <v>126347</v>
      </c>
      <c r="T9" s="116">
        <v>128961</v>
      </c>
      <c r="U9" s="116">
        <v>130349.31774889788</v>
      </c>
      <c r="V9" s="116">
        <v>132185.27747996451</v>
      </c>
      <c r="W9" s="128">
        <v>134412</v>
      </c>
      <c r="X9" s="128">
        <v>137800</v>
      </c>
      <c r="Y9" s="128">
        <v>141173</v>
      </c>
      <c r="Z9" s="128">
        <v>145273</v>
      </c>
      <c r="AA9" s="151">
        <v>149903.05763330118</v>
      </c>
    </row>
    <row r="10" spans="1:27" ht="15" x14ac:dyDescent="0.2">
      <c r="A10" s="113" t="s">
        <v>337</v>
      </c>
      <c r="B10" s="114">
        <v>7768</v>
      </c>
      <c r="C10" s="113" t="s">
        <v>867</v>
      </c>
      <c r="D10" s="113" t="s">
        <v>863</v>
      </c>
      <c r="E10" s="115" t="s">
        <v>954</v>
      </c>
      <c r="F10" s="115" t="s">
        <v>954</v>
      </c>
      <c r="G10" s="115">
        <v>491</v>
      </c>
      <c r="H10" s="115">
        <v>491</v>
      </c>
      <c r="I10" s="115">
        <v>614</v>
      </c>
      <c r="J10" s="115">
        <v>633</v>
      </c>
      <c r="K10" s="115">
        <v>588</v>
      </c>
      <c r="L10" s="115">
        <v>588</v>
      </c>
      <c r="M10" s="115">
        <v>588</v>
      </c>
      <c r="N10" s="115">
        <v>364</v>
      </c>
      <c r="O10" s="115">
        <v>459.61110225750008</v>
      </c>
      <c r="P10" s="115">
        <v>620.89801184812495</v>
      </c>
      <c r="Q10" s="116">
        <v>626</v>
      </c>
      <c r="R10" s="116">
        <v>460</v>
      </c>
      <c r="S10" s="116"/>
      <c r="T10" s="116" t="s">
        <v>868</v>
      </c>
      <c r="U10" s="116" t="s">
        <v>868</v>
      </c>
      <c r="V10" s="116" t="s">
        <v>868</v>
      </c>
      <c r="W10" s="128" t="s">
        <v>868</v>
      </c>
      <c r="X10" s="128" t="s">
        <v>868</v>
      </c>
      <c r="Y10" s="128" t="s">
        <v>868</v>
      </c>
      <c r="Z10" s="128" t="s">
        <v>868</v>
      </c>
      <c r="AA10" s="151" t="s">
        <v>868</v>
      </c>
    </row>
    <row r="11" spans="1:27" ht="15" x14ac:dyDescent="0.2">
      <c r="A11" s="113" t="s">
        <v>355</v>
      </c>
      <c r="B11" s="114">
        <v>207</v>
      </c>
      <c r="C11" s="113" t="s">
        <v>357</v>
      </c>
      <c r="D11" s="113" t="s">
        <v>869</v>
      </c>
      <c r="E11" s="115">
        <v>3555</v>
      </c>
      <c r="F11" s="115">
        <v>3630</v>
      </c>
      <c r="G11" s="115">
        <v>3656</v>
      </c>
      <c r="H11" s="115">
        <v>3685</v>
      </c>
      <c r="I11" s="115">
        <v>3685</v>
      </c>
      <c r="J11" s="115">
        <v>3685</v>
      </c>
      <c r="K11" s="115">
        <v>7667</v>
      </c>
      <c r="L11" s="115">
        <v>7667</v>
      </c>
      <c r="M11" s="115">
        <v>6268</v>
      </c>
      <c r="N11" s="115">
        <v>5767</v>
      </c>
      <c r="O11" s="115">
        <v>6138.0684523371465</v>
      </c>
      <c r="P11" s="115">
        <v>6182.0493432319017</v>
      </c>
      <c r="Q11" s="116">
        <v>6720</v>
      </c>
      <c r="R11" s="116">
        <v>6212</v>
      </c>
      <c r="S11" s="116">
        <v>6271</v>
      </c>
      <c r="T11" s="116">
        <v>5643</v>
      </c>
      <c r="U11" s="116">
        <v>6270.6630615140057</v>
      </c>
      <c r="V11" s="116">
        <v>5726.0249388620505</v>
      </c>
      <c r="W11" s="128">
        <v>5781.395389984109</v>
      </c>
      <c r="X11" s="128">
        <v>5683.558269855057</v>
      </c>
      <c r="Y11" s="128">
        <v>5698</v>
      </c>
      <c r="Z11" s="128">
        <v>5804</v>
      </c>
      <c r="AA11" s="151">
        <v>5097.1279572035091</v>
      </c>
    </row>
    <row r="12" spans="1:27" ht="15" x14ac:dyDescent="0.2">
      <c r="A12" s="113" t="s">
        <v>355</v>
      </c>
      <c r="B12" s="114">
        <v>419</v>
      </c>
      <c r="C12" s="113" t="s">
        <v>359</v>
      </c>
      <c r="D12" s="113" t="s">
        <v>869</v>
      </c>
      <c r="E12" s="115">
        <v>9826</v>
      </c>
      <c r="F12" s="115">
        <v>10033</v>
      </c>
      <c r="G12" s="115">
        <v>9300</v>
      </c>
      <c r="H12" s="115">
        <v>9300</v>
      </c>
      <c r="I12" s="115">
        <v>9300</v>
      </c>
      <c r="J12" s="115">
        <v>7200</v>
      </c>
      <c r="K12" s="115">
        <v>7200</v>
      </c>
      <c r="L12" s="115">
        <v>7288</v>
      </c>
      <c r="M12" s="115">
        <v>7288</v>
      </c>
      <c r="N12" s="115">
        <v>8915</v>
      </c>
      <c r="O12" s="115">
        <v>9077</v>
      </c>
      <c r="P12" s="115">
        <v>9061.1809395448363</v>
      </c>
      <c r="Q12" s="116">
        <v>9458</v>
      </c>
      <c r="R12" s="116">
        <v>9212</v>
      </c>
      <c r="S12" s="116">
        <v>9216</v>
      </c>
      <c r="T12" s="116">
        <v>9520</v>
      </c>
      <c r="U12" s="116">
        <v>9658.7637349177094</v>
      </c>
      <c r="V12" s="116">
        <v>9709.7589477763067</v>
      </c>
      <c r="W12" s="128">
        <v>10491.248381498963</v>
      </c>
      <c r="X12" s="128">
        <v>9185.2672688781877</v>
      </c>
      <c r="Y12" s="128">
        <v>9166</v>
      </c>
      <c r="Z12" s="128">
        <v>9546</v>
      </c>
      <c r="AA12" s="151">
        <v>9321.3680488493137</v>
      </c>
    </row>
    <row r="13" spans="1:27" ht="15" x14ac:dyDescent="0.2">
      <c r="A13" s="113" t="s">
        <v>355</v>
      </c>
      <c r="B13" s="114">
        <v>1118</v>
      </c>
      <c r="C13" s="113" t="s">
        <v>870</v>
      </c>
      <c r="D13" s="113" t="s">
        <v>869</v>
      </c>
      <c r="E13" s="115">
        <v>4272</v>
      </c>
      <c r="F13" s="115">
        <v>4358</v>
      </c>
      <c r="G13" s="115">
        <v>4570</v>
      </c>
      <c r="H13" s="115">
        <v>4713</v>
      </c>
      <c r="I13" s="115">
        <v>5668</v>
      </c>
      <c r="J13" s="115">
        <v>5980</v>
      </c>
      <c r="K13" s="115">
        <v>6025</v>
      </c>
      <c r="L13" s="115">
        <v>5979</v>
      </c>
      <c r="M13" s="115">
        <v>4705</v>
      </c>
      <c r="N13" s="115">
        <v>4683</v>
      </c>
      <c r="O13" s="115">
        <v>4715.9935705374783</v>
      </c>
      <c r="P13" s="115">
        <v>4633.9572378292214</v>
      </c>
      <c r="Q13" s="116">
        <v>4623.5109861659448</v>
      </c>
      <c r="R13" s="116">
        <v>4885</v>
      </c>
      <c r="S13" s="116">
        <v>5060</v>
      </c>
      <c r="T13" s="116">
        <v>5077</v>
      </c>
      <c r="U13" s="116">
        <v>5097.7890316827425</v>
      </c>
      <c r="V13" s="116">
        <v>5086.9441048497811</v>
      </c>
      <c r="W13" s="128">
        <v>5084.9336874861701</v>
      </c>
      <c r="X13" s="128">
        <v>5190.2001271249919</v>
      </c>
      <c r="Y13" s="128">
        <v>5196</v>
      </c>
      <c r="Z13" s="128">
        <v>5378</v>
      </c>
      <c r="AA13" s="151">
        <v>5242.088292503272</v>
      </c>
    </row>
    <row r="14" spans="1:27" ht="15" x14ac:dyDescent="0.2">
      <c r="A14" s="113" t="s">
        <v>355</v>
      </c>
      <c r="B14" s="114">
        <v>2842</v>
      </c>
      <c r="C14" s="113" t="s">
        <v>871</v>
      </c>
      <c r="D14" s="113" t="s">
        <v>869</v>
      </c>
      <c r="E14" s="115">
        <v>8072</v>
      </c>
      <c r="F14" s="115">
        <v>10754</v>
      </c>
      <c r="G14" s="115">
        <v>13680</v>
      </c>
      <c r="H14" s="115">
        <v>13080</v>
      </c>
      <c r="I14" s="115">
        <v>13080</v>
      </c>
      <c r="J14" s="115">
        <v>15000</v>
      </c>
      <c r="K14" s="115">
        <v>15000</v>
      </c>
      <c r="L14" s="115">
        <v>16601</v>
      </c>
      <c r="M14" s="115">
        <v>15725</v>
      </c>
      <c r="N14" s="115">
        <v>15929</v>
      </c>
      <c r="O14" s="115">
        <v>17736.510506222723</v>
      </c>
      <c r="P14" s="115">
        <v>17571.943256545615</v>
      </c>
      <c r="Q14" s="116">
        <v>17358</v>
      </c>
      <c r="R14" s="116">
        <v>17343</v>
      </c>
      <c r="S14" s="116">
        <v>17569</v>
      </c>
      <c r="T14" s="116">
        <v>17516</v>
      </c>
      <c r="U14" s="116">
        <v>17768</v>
      </c>
      <c r="V14" s="116">
        <v>18339.157365515952</v>
      </c>
      <c r="W14" s="128">
        <v>18761.534422693912</v>
      </c>
      <c r="X14" s="128">
        <v>19805.672442450697</v>
      </c>
      <c r="Y14" s="128">
        <v>21150</v>
      </c>
      <c r="Z14" s="128">
        <v>22907</v>
      </c>
      <c r="AA14" s="151">
        <v>23979.96200993704</v>
      </c>
    </row>
    <row r="15" spans="1:27" ht="15" x14ac:dyDescent="0.2">
      <c r="A15" s="113" t="s">
        <v>355</v>
      </c>
      <c r="B15" s="114">
        <v>4153</v>
      </c>
      <c r="C15" s="113" t="s">
        <v>872</v>
      </c>
      <c r="D15" s="113" t="s">
        <v>869</v>
      </c>
      <c r="E15" s="115">
        <v>11439</v>
      </c>
      <c r="F15" s="115">
        <v>11457</v>
      </c>
      <c r="G15" s="115">
        <v>11475</v>
      </c>
      <c r="H15" s="115">
        <v>11669</v>
      </c>
      <c r="I15" s="115">
        <v>12242</v>
      </c>
      <c r="J15" s="115">
        <v>12242</v>
      </c>
      <c r="K15" s="115">
        <v>12602</v>
      </c>
      <c r="L15" s="115">
        <v>12602</v>
      </c>
      <c r="M15" s="115">
        <v>11113</v>
      </c>
      <c r="N15" s="115">
        <v>11121</v>
      </c>
      <c r="O15" s="115">
        <v>11395</v>
      </c>
      <c r="P15" s="115">
        <v>11291.345646141779</v>
      </c>
      <c r="Q15" s="116">
        <v>11291.345646141779</v>
      </c>
      <c r="R15" s="116">
        <v>11507</v>
      </c>
      <c r="S15" s="116">
        <v>11507</v>
      </c>
      <c r="T15" s="116">
        <v>11301</v>
      </c>
      <c r="U15" s="116">
        <v>11355.752003427102</v>
      </c>
      <c r="V15" s="116">
        <v>11356.290793127102</v>
      </c>
      <c r="W15" s="128">
        <v>11510.206067666331</v>
      </c>
      <c r="X15" s="128">
        <v>11548.33651288406</v>
      </c>
      <c r="Y15" s="128">
        <v>11856</v>
      </c>
      <c r="Z15" s="128">
        <v>11978</v>
      </c>
      <c r="AA15" s="151">
        <v>12437.112957588497</v>
      </c>
    </row>
    <row r="16" spans="1:27" ht="15" x14ac:dyDescent="0.2">
      <c r="A16" s="113" t="s">
        <v>355</v>
      </c>
      <c r="B16" s="114">
        <v>4406</v>
      </c>
      <c r="C16" s="113" t="s">
        <v>372</v>
      </c>
      <c r="D16" s="113" t="s">
        <v>869</v>
      </c>
      <c r="E16" s="115">
        <v>4422</v>
      </c>
      <c r="F16" s="115">
        <v>3973</v>
      </c>
      <c r="G16" s="115">
        <v>5970</v>
      </c>
      <c r="H16" s="115">
        <v>6000</v>
      </c>
      <c r="I16" s="115">
        <v>6075</v>
      </c>
      <c r="J16" s="115">
        <v>6314</v>
      </c>
      <c r="K16" s="115">
        <v>6394</v>
      </c>
      <c r="L16" s="115">
        <v>6452</v>
      </c>
      <c r="M16" s="115">
        <v>4711</v>
      </c>
      <c r="N16" s="115">
        <v>4736</v>
      </c>
      <c r="O16" s="115">
        <v>5329</v>
      </c>
      <c r="P16" s="115">
        <v>5536.3636991180028</v>
      </c>
      <c r="Q16" s="116">
        <v>5578.3866460772269</v>
      </c>
      <c r="R16" s="116">
        <v>5594</v>
      </c>
      <c r="S16" s="116">
        <v>5558</v>
      </c>
      <c r="T16" s="116">
        <v>5691</v>
      </c>
      <c r="U16" s="116">
        <v>5703.5335430798477</v>
      </c>
      <c r="V16" s="116">
        <v>5764.5071782064388</v>
      </c>
      <c r="W16" s="128">
        <v>5778.1157667312527</v>
      </c>
      <c r="X16" s="128">
        <v>5802.196827144262</v>
      </c>
      <c r="Y16" s="128">
        <v>5829</v>
      </c>
      <c r="Z16" s="128">
        <v>5956</v>
      </c>
      <c r="AA16" s="151">
        <v>5747.8064797652123</v>
      </c>
    </row>
    <row r="17" spans="1:27" ht="15" x14ac:dyDescent="0.2">
      <c r="A17" s="113" t="s">
        <v>355</v>
      </c>
      <c r="B17" s="114">
        <v>6691</v>
      </c>
      <c r="C17" s="113" t="s">
        <v>873</v>
      </c>
      <c r="D17" s="113" t="s">
        <v>869</v>
      </c>
      <c r="E17" s="115" t="s">
        <v>954</v>
      </c>
      <c r="F17" s="115" t="s">
        <v>955</v>
      </c>
      <c r="G17" s="115">
        <v>230</v>
      </c>
      <c r="H17" s="115">
        <v>555</v>
      </c>
      <c r="I17" s="115">
        <v>578</v>
      </c>
      <c r="J17" s="115">
        <v>578</v>
      </c>
      <c r="K17" s="115">
        <v>590</v>
      </c>
      <c r="L17" s="115">
        <v>590</v>
      </c>
      <c r="M17" s="115">
        <v>580</v>
      </c>
      <c r="N17" s="115">
        <v>590</v>
      </c>
      <c r="O17" s="115">
        <v>524.14087800156506</v>
      </c>
      <c r="P17" s="115">
        <v>543.15529973830689</v>
      </c>
      <c r="Q17" s="116">
        <v>522.34475185561314</v>
      </c>
      <c r="R17" s="116">
        <v>531</v>
      </c>
      <c r="S17" s="116">
        <v>551</v>
      </c>
      <c r="T17" s="116">
        <v>562</v>
      </c>
      <c r="U17" s="116">
        <v>574.37103395252996</v>
      </c>
      <c r="V17" s="116">
        <v>576.45208842337252</v>
      </c>
      <c r="W17" s="128">
        <v>578.53325628894856</v>
      </c>
      <c r="X17" s="128">
        <v>584.77641873849348</v>
      </c>
      <c r="Y17" s="128">
        <v>589</v>
      </c>
      <c r="Z17" s="128">
        <v>591</v>
      </c>
      <c r="AA17" s="151">
        <v>572.59173784317181</v>
      </c>
    </row>
    <row r="18" spans="1:27" ht="15" x14ac:dyDescent="0.2">
      <c r="A18" s="113" t="s">
        <v>355</v>
      </c>
      <c r="B18" s="114">
        <v>7121</v>
      </c>
      <c r="C18" s="113" t="s">
        <v>874</v>
      </c>
      <c r="D18" s="113" t="s">
        <v>869</v>
      </c>
      <c r="E18" s="115">
        <v>16943</v>
      </c>
      <c r="F18" s="115">
        <v>18757</v>
      </c>
      <c r="G18" s="115">
        <v>18794</v>
      </c>
      <c r="H18" s="115">
        <v>19000</v>
      </c>
      <c r="I18" s="115">
        <v>23917</v>
      </c>
      <c r="J18" s="115">
        <v>24309</v>
      </c>
      <c r="K18" s="115">
        <v>26209</v>
      </c>
      <c r="L18" s="115">
        <v>23117</v>
      </c>
      <c r="M18" s="115">
        <v>25103</v>
      </c>
      <c r="N18" s="115">
        <v>25738</v>
      </c>
      <c r="O18" s="115">
        <v>25559.812055682542</v>
      </c>
      <c r="P18" s="115">
        <v>25086.071779436508</v>
      </c>
      <c r="Q18" s="116">
        <v>26295</v>
      </c>
      <c r="R18" s="116">
        <v>25784</v>
      </c>
      <c r="S18" s="116">
        <v>26001</v>
      </c>
      <c r="T18" s="116">
        <v>25380</v>
      </c>
      <c r="U18" s="116">
        <v>24570</v>
      </c>
      <c r="V18" s="116">
        <v>25035.471265444394</v>
      </c>
      <c r="W18" s="128">
        <v>25232.167989775837</v>
      </c>
      <c r="X18" s="128">
        <v>26241.129516884212</v>
      </c>
      <c r="Y18" s="128">
        <v>28550</v>
      </c>
      <c r="Z18" s="128">
        <v>28656</v>
      </c>
      <c r="AA18" s="151">
        <v>29283.73746724418</v>
      </c>
    </row>
    <row r="19" spans="1:27" ht="15" x14ac:dyDescent="0.2">
      <c r="A19" s="113" t="s">
        <v>355</v>
      </c>
      <c r="B19" s="114">
        <v>9097</v>
      </c>
      <c r="C19" s="113" t="s">
        <v>770</v>
      </c>
      <c r="D19" s="113" t="s">
        <v>869</v>
      </c>
      <c r="E19" s="115"/>
      <c r="F19" s="115"/>
      <c r="G19" s="115"/>
      <c r="H19" s="115"/>
      <c r="I19" s="115"/>
      <c r="J19" s="115"/>
      <c r="K19" s="115"/>
      <c r="L19" s="115"/>
      <c r="M19" s="115"/>
      <c r="N19" s="115"/>
      <c r="O19" s="115"/>
      <c r="P19" s="115"/>
      <c r="Q19" s="116"/>
      <c r="R19" s="116"/>
      <c r="S19" s="116"/>
      <c r="T19" s="116"/>
      <c r="U19" s="116"/>
      <c r="V19" s="116"/>
      <c r="W19" s="128" t="s">
        <v>868</v>
      </c>
      <c r="X19" s="128">
        <v>158.37739111786871</v>
      </c>
      <c r="Y19" s="128">
        <v>161</v>
      </c>
      <c r="Z19" s="128">
        <v>187</v>
      </c>
      <c r="AA19" s="151">
        <v>178.15839568748805</v>
      </c>
    </row>
    <row r="20" spans="1:27" ht="15" x14ac:dyDescent="0.2">
      <c r="A20" s="113" t="s">
        <v>355</v>
      </c>
      <c r="B20" s="114">
        <v>9791</v>
      </c>
      <c r="C20" s="113" t="s">
        <v>871</v>
      </c>
      <c r="D20" s="113" t="s">
        <v>869</v>
      </c>
      <c r="E20" s="115">
        <v>6879</v>
      </c>
      <c r="F20" s="115">
        <v>8483</v>
      </c>
      <c r="G20" s="115">
        <v>11117</v>
      </c>
      <c r="H20" s="115">
        <v>11117</v>
      </c>
      <c r="I20" s="115">
        <v>9659</v>
      </c>
      <c r="J20" s="115">
        <v>10390</v>
      </c>
      <c r="K20" s="115">
        <v>10971</v>
      </c>
      <c r="L20" s="115">
        <v>10971</v>
      </c>
      <c r="M20" s="115">
        <v>10333</v>
      </c>
      <c r="N20" s="115">
        <v>11870</v>
      </c>
      <c r="O20" s="115">
        <v>10877.044327822745</v>
      </c>
      <c r="P20" s="115">
        <v>11144.406530024524</v>
      </c>
      <c r="Q20" s="116">
        <v>11000</v>
      </c>
      <c r="R20" s="116">
        <v>10896</v>
      </c>
      <c r="S20" s="116">
        <v>11244</v>
      </c>
      <c r="T20" s="116">
        <v>11217</v>
      </c>
      <c r="U20" s="116">
        <v>11217</v>
      </c>
      <c r="V20" s="116">
        <v>11998.298512350319</v>
      </c>
      <c r="W20" s="128">
        <v>12433.86230282376</v>
      </c>
      <c r="X20" s="128">
        <v>12999.473059699008</v>
      </c>
      <c r="Y20" s="128">
        <v>14405</v>
      </c>
      <c r="Z20" s="128">
        <v>13201</v>
      </c>
      <c r="AA20" s="151">
        <v>13428.09365872924</v>
      </c>
    </row>
    <row r="21" spans="1:27" ht="15" x14ac:dyDescent="0.2">
      <c r="A21" s="113" t="s">
        <v>355</v>
      </c>
      <c r="B21" s="114">
        <v>11839</v>
      </c>
      <c r="C21" s="113" t="s">
        <v>875</v>
      </c>
      <c r="D21" s="113" t="s">
        <v>869</v>
      </c>
      <c r="E21" s="115" t="s">
        <v>954</v>
      </c>
      <c r="F21" s="115" t="s">
        <v>954</v>
      </c>
      <c r="G21" s="115" t="s">
        <v>954</v>
      </c>
      <c r="H21" s="115">
        <v>1400</v>
      </c>
      <c r="I21" s="115">
        <v>1400</v>
      </c>
      <c r="J21" s="115">
        <v>848</v>
      </c>
      <c r="K21" s="115">
        <v>752</v>
      </c>
      <c r="L21" s="115">
        <v>844</v>
      </c>
      <c r="M21" s="115">
        <v>892</v>
      </c>
      <c r="N21" s="115">
        <v>326</v>
      </c>
      <c r="O21" s="115">
        <v>942</v>
      </c>
      <c r="P21" s="115">
        <v>947.01593576488801</v>
      </c>
      <c r="Q21" s="116">
        <v>947.01593576488801</v>
      </c>
      <c r="R21" s="116">
        <v>974</v>
      </c>
      <c r="S21" s="116">
        <v>994</v>
      </c>
      <c r="T21" s="116">
        <v>1021</v>
      </c>
      <c r="U21" s="116">
        <v>1019</v>
      </c>
      <c r="V21" s="116">
        <v>1019</v>
      </c>
      <c r="W21" s="128">
        <v>1021.3684265894041</v>
      </c>
      <c r="X21" s="128">
        <v>1021.368440565181</v>
      </c>
      <c r="Y21" s="128">
        <v>1021</v>
      </c>
      <c r="Z21" s="128">
        <v>1021</v>
      </c>
      <c r="AA21" s="151">
        <v>1068.9593061322844</v>
      </c>
    </row>
    <row r="22" spans="1:27" ht="15" x14ac:dyDescent="0.2">
      <c r="A22" s="113" t="s">
        <v>355</v>
      </c>
      <c r="B22" s="114">
        <v>20230</v>
      </c>
      <c r="C22" s="113" t="s">
        <v>390</v>
      </c>
      <c r="D22" s="113" t="s">
        <v>869</v>
      </c>
      <c r="E22" s="115" t="s">
        <v>954</v>
      </c>
      <c r="F22" s="115" t="s">
        <v>954</v>
      </c>
      <c r="G22" s="115" t="s">
        <v>954</v>
      </c>
      <c r="H22" s="115" t="s">
        <v>954</v>
      </c>
      <c r="I22" s="115" t="s">
        <v>954</v>
      </c>
      <c r="J22" s="115" t="s">
        <v>954</v>
      </c>
      <c r="K22" s="115" t="s">
        <v>954</v>
      </c>
      <c r="L22" s="115" t="s">
        <v>954</v>
      </c>
      <c r="M22" s="115" t="s">
        <v>954</v>
      </c>
      <c r="N22" s="115" t="s">
        <v>954</v>
      </c>
      <c r="O22" s="115">
        <v>3956</v>
      </c>
      <c r="P22" s="115">
        <v>4057.3309002331462</v>
      </c>
      <c r="Q22" s="116">
        <v>4339.4458532702774</v>
      </c>
      <c r="R22" s="116">
        <v>4463</v>
      </c>
      <c r="S22" s="116">
        <v>4695</v>
      </c>
      <c r="T22" s="116">
        <v>4886</v>
      </c>
      <c r="U22" s="116">
        <v>4673.5009420466049</v>
      </c>
      <c r="V22" s="116">
        <v>4676</v>
      </c>
      <c r="W22" s="128">
        <v>4764.3779065395465</v>
      </c>
      <c r="X22" s="128">
        <v>4754.0141331993646</v>
      </c>
      <c r="Y22" s="128">
        <v>4739</v>
      </c>
      <c r="Z22" s="128">
        <v>4788</v>
      </c>
      <c r="AA22" s="151">
        <v>4166.0468844930656</v>
      </c>
    </row>
    <row r="23" spans="1:27" ht="15" x14ac:dyDescent="0.2">
      <c r="A23" s="117" t="s">
        <v>391</v>
      </c>
      <c r="B23" s="118">
        <v>4725</v>
      </c>
      <c r="C23" s="119" t="s">
        <v>876</v>
      </c>
      <c r="D23" s="119" t="s">
        <v>863</v>
      </c>
      <c r="E23" s="115">
        <v>7357</v>
      </c>
      <c r="F23" s="115">
        <v>7371</v>
      </c>
      <c r="G23" s="115">
        <v>7371</v>
      </c>
      <c r="H23" s="115">
        <v>7919</v>
      </c>
      <c r="I23" s="115">
        <v>8942</v>
      </c>
      <c r="J23" s="115">
        <v>8942</v>
      </c>
      <c r="K23" s="115">
        <v>8942</v>
      </c>
      <c r="L23" s="115">
        <v>8942</v>
      </c>
      <c r="M23" s="115">
        <v>11043</v>
      </c>
      <c r="N23" s="115">
        <v>9720</v>
      </c>
      <c r="O23" s="115">
        <v>8575.9275390613857</v>
      </c>
      <c r="P23" s="115">
        <v>10365.794337760077</v>
      </c>
      <c r="Q23" s="116">
        <v>10748.364896627423</v>
      </c>
      <c r="R23" s="116">
        <v>10498</v>
      </c>
      <c r="S23" s="116">
        <v>10331</v>
      </c>
      <c r="T23" s="116">
        <v>10039</v>
      </c>
      <c r="U23" s="116">
        <v>10066</v>
      </c>
      <c r="V23" s="116">
        <v>10701.787661295793</v>
      </c>
      <c r="W23" s="128">
        <v>10844.497136321563</v>
      </c>
      <c r="X23" s="128">
        <v>11868.294486976434</v>
      </c>
      <c r="Y23" s="128">
        <v>12113</v>
      </c>
      <c r="Z23" s="128">
        <v>12884</v>
      </c>
      <c r="AA23" s="151">
        <v>12040</v>
      </c>
    </row>
    <row r="24" spans="1:27" ht="15" x14ac:dyDescent="0.2">
      <c r="A24" s="117" t="s">
        <v>391</v>
      </c>
      <c r="B24" s="118">
        <v>10420</v>
      </c>
      <c r="C24" s="119" t="s">
        <v>877</v>
      </c>
      <c r="D24" s="119" t="s">
        <v>863</v>
      </c>
      <c r="E24" s="115">
        <v>1289</v>
      </c>
      <c r="F24" s="115">
        <v>1289</v>
      </c>
      <c r="G24" s="115">
        <v>1289</v>
      </c>
      <c r="H24" s="115">
        <v>1289</v>
      </c>
      <c r="I24" s="115">
        <v>1621</v>
      </c>
      <c r="J24" s="115">
        <v>1621</v>
      </c>
      <c r="K24" s="115">
        <v>4134</v>
      </c>
      <c r="L24" s="115">
        <v>4134</v>
      </c>
      <c r="M24" s="115">
        <v>4134</v>
      </c>
      <c r="N24" s="115">
        <v>4250</v>
      </c>
      <c r="O24" s="115" t="s">
        <v>868</v>
      </c>
      <c r="P24" s="115" t="s">
        <v>868</v>
      </c>
      <c r="Q24" s="116" t="s">
        <v>868</v>
      </c>
      <c r="R24" s="116" t="s">
        <v>868</v>
      </c>
      <c r="S24" s="116" t="s">
        <v>868</v>
      </c>
      <c r="T24" s="116" t="s">
        <v>868</v>
      </c>
      <c r="U24" s="116" t="s">
        <v>868</v>
      </c>
      <c r="V24" s="116" t="s">
        <v>868</v>
      </c>
      <c r="W24" s="128" t="s">
        <v>868</v>
      </c>
      <c r="X24" s="128" t="s">
        <v>868</v>
      </c>
      <c r="Y24" s="128" t="s">
        <v>868</v>
      </c>
      <c r="Z24" s="128" t="s">
        <v>868</v>
      </c>
      <c r="AA24" s="151" t="s">
        <v>868</v>
      </c>
    </row>
    <row r="25" spans="1:27" ht="15" x14ac:dyDescent="0.2">
      <c r="A25" s="117" t="s">
        <v>391</v>
      </c>
      <c r="B25" s="118">
        <v>20457</v>
      </c>
      <c r="C25" s="119" t="s">
        <v>878</v>
      </c>
      <c r="D25" s="119" t="s">
        <v>863</v>
      </c>
      <c r="E25" s="115"/>
      <c r="F25" s="115"/>
      <c r="G25" s="115"/>
      <c r="H25" s="115"/>
      <c r="I25" s="115"/>
      <c r="J25" s="115"/>
      <c r="K25" s="115"/>
      <c r="L25" s="115"/>
      <c r="M25" s="115"/>
      <c r="N25" s="115"/>
      <c r="O25" s="115"/>
      <c r="P25" s="115"/>
      <c r="Q25" s="116"/>
      <c r="R25" s="116">
        <v>8709</v>
      </c>
      <c r="S25" s="116">
        <v>5381</v>
      </c>
      <c r="T25" s="116">
        <v>5186</v>
      </c>
      <c r="U25" s="116">
        <v>5261.5952507835009</v>
      </c>
      <c r="V25" s="116">
        <v>5335.1105536886607</v>
      </c>
      <c r="W25" s="128">
        <v>5391.8223587869252</v>
      </c>
      <c r="X25" s="128">
        <v>5950.5386827475713</v>
      </c>
      <c r="Y25" s="128">
        <v>6188</v>
      </c>
      <c r="Z25" s="128">
        <v>6234</v>
      </c>
      <c r="AA25" s="151">
        <v>7015.6228771743063</v>
      </c>
    </row>
    <row r="26" spans="1:27" ht="15" x14ac:dyDescent="0.2">
      <c r="A26" s="117" t="s">
        <v>396</v>
      </c>
      <c r="B26" s="118">
        <v>30</v>
      </c>
      <c r="C26" s="119" t="s">
        <v>879</v>
      </c>
      <c r="D26" s="119" t="s">
        <v>880</v>
      </c>
      <c r="E26" s="115">
        <v>2150</v>
      </c>
      <c r="F26" s="115">
        <v>2191</v>
      </c>
      <c r="G26" s="115">
        <v>3012</v>
      </c>
      <c r="H26" s="115">
        <v>3072</v>
      </c>
      <c r="I26" s="115">
        <v>3072</v>
      </c>
      <c r="J26" s="115">
        <v>3072</v>
      </c>
      <c r="K26" s="115">
        <v>3400</v>
      </c>
      <c r="L26" s="115">
        <v>3400</v>
      </c>
      <c r="M26" s="115">
        <v>4166</v>
      </c>
      <c r="N26" s="115">
        <v>4171</v>
      </c>
      <c r="O26" s="115">
        <v>4818</v>
      </c>
      <c r="P26" s="115">
        <v>2553.0532850627073</v>
      </c>
      <c r="Q26" s="116">
        <v>2601.0301253189191</v>
      </c>
      <c r="R26" s="116">
        <v>4551</v>
      </c>
      <c r="S26" s="116">
        <v>4551</v>
      </c>
      <c r="T26" s="116">
        <v>4618</v>
      </c>
      <c r="U26" s="116">
        <v>4578.0830170464751</v>
      </c>
      <c r="V26" s="116">
        <v>4651.3323453192188</v>
      </c>
      <c r="W26" s="128">
        <v>4355.0054040019113</v>
      </c>
      <c r="X26" s="128">
        <v>4657.9913011418748</v>
      </c>
      <c r="Y26" s="128">
        <v>4658</v>
      </c>
      <c r="Z26" s="128">
        <v>4658</v>
      </c>
      <c r="AA26" s="151">
        <v>3974.6087022207266</v>
      </c>
    </row>
    <row r="27" spans="1:27" ht="15" x14ac:dyDescent="0.2">
      <c r="A27" s="117" t="s">
        <v>396</v>
      </c>
      <c r="B27" s="118">
        <v>4461</v>
      </c>
      <c r="C27" s="119" t="s">
        <v>400</v>
      </c>
      <c r="D27" s="119" t="s">
        <v>880</v>
      </c>
      <c r="E27" s="115">
        <v>5735</v>
      </c>
      <c r="F27" s="115">
        <v>4377</v>
      </c>
      <c r="G27" s="115">
        <v>4377</v>
      </c>
      <c r="H27" s="115">
        <v>4405</v>
      </c>
      <c r="I27" s="115">
        <v>6075</v>
      </c>
      <c r="J27" s="115">
        <v>6234</v>
      </c>
      <c r="K27" s="115">
        <v>6234</v>
      </c>
      <c r="L27" s="115">
        <v>6150</v>
      </c>
      <c r="M27" s="115">
        <v>6150</v>
      </c>
      <c r="N27" s="115">
        <v>6114</v>
      </c>
      <c r="O27" s="115">
        <v>6206</v>
      </c>
      <c r="P27" s="115">
        <v>6490.2872583359649</v>
      </c>
      <c r="Q27" s="116">
        <v>6498.8219700823402</v>
      </c>
      <c r="R27" s="116">
        <v>6358</v>
      </c>
      <c r="S27" s="116">
        <v>6490</v>
      </c>
      <c r="T27" s="116">
        <v>6400</v>
      </c>
      <c r="U27" s="116">
        <v>6329.8401614686682</v>
      </c>
      <c r="V27" s="116">
        <v>6397</v>
      </c>
      <c r="W27" s="128">
        <v>6378</v>
      </c>
      <c r="X27" s="128">
        <v>6490.1482385070567</v>
      </c>
      <c r="Y27" s="128">
        <v>6776</v>
      </c>
      <c r="Z27" s="128">
        <v>6851</v>
      </c>
      <c r="AA27" s="151">
        <v>6562.420853536647</v>
      </c>
    </row>
    <row r="28" spans="1:27" ht="15" x14ac:dyDescent="0.2">
      <c r="A28" s="117" t="s">
        <v>396</v>
      </c>
      <c r="B28" s="118">
        <v>7658</v>
      </c>
      <c r="C28" s="119" t="s">
        <v>404</v>
      </c>
      <c r="D28" s="119" t="s">
        <v>880</v>
      </c>
      <c r="E28" s="115">
        <v>1531</v>
      </c>
      <c r="F28" s="115">
        <v>1560</v>
      </c>
      <c r="G28" s="115">
        <v>1642</v>
      </c>
      <c r="H28" s="115">
        <v>1662</v>
      </c>
      <c r="I28" s="115">
        <v>1662</v>
      </c>
      <c r="J28" s="115">
        <v>1662</v>
      </c>
      <c r="K28" s="115">
        <v>1640</v>
      </c>
      <c r="L28" s="115">
        <v>1640</v>
      </c>
      <c r="M28" s="115">
        <v>1549</v>
      </c>
      <c r="N28" s="115">
        <v>2430</v>
      </c>
      <c r="O28" s="115">
        <v>2530</v>
      </c>
      <c r="P28" s="115">
        <v>2465.7500350828122</v>
      </c>
      <c r="Q28" s="116">
        <v>2846.2670158054689</v>
      </c>
      <c r="R28" s="116">
        <v>2846</v>
      </c>
      <c r="S28" s="116">
        <v>2852</v>
      </c>
      <c r="T28" s="116">
        <v>2493</v>
      </c>
      <c r="U28" s="116">
        <v>2496.1913935406251</v>
      </c>
      <c r="V28" s="116">
        <v>2496.1913935406251</v>
      </c>
      <c r="W28" s="128">
        <v>2499</v>
      </c>
      <c r="X28" s="128">
        <v>2499</v>
      </c>
      <c r="Y28" s="128">
        <v>2505</v>
      </c>
      <c r="Z28" s="128">
        <v>2505</v>
      </c>
      <c r="AA28" s="151">
        <v>2297.3838628628037</v>
      </c>
    </row>
    <row r="29" spans="1:27" ht="15" x14ac:dyDescent="0.2">
      <c r="A29" s="117" t="s">
        <v>396</v>
      </c>
      <c r="B29" s="118">
        <v>13026</v>
      </c>
      <c r="C29" s="119" t="s">
        <v>881</v>
      </c>
      <c r="D29" s="119" t="s">
        <v>880</v>
      </c>
      <c r="E29" s="115" t="s">
        <v>954</v>
      </c>
      <c r="F29" s="115" t="s">
        <v>954</v>
      </c>
      <c r="G29" s="115" t="s">
        <v>954</v>
      </c>
      <c r="H29" s="115" t="s">
        <v>954</v>
      </c>
      <c r="I29" s="115" t="s">
        <v>954</v>
      </c>
      <c r="J29" s="115" t="s">
        <v>954</v>
      </c>
      <c r="K29" s="115" t="s">
        <v>954</v>
      </c>
      <c r="L29" s="115">
        <v>869</v>
      </c>
      <c r="M29" s="115">
        <v>869</v>
      </c>
      <c r="N29" s="115">
        <v>886</v>
      </c>
      <c r="O29" s="115">
        <v>796</v>
      </c>
      <c r="P29" s="115">
        <v>2415.4886060922267</v>
      </c>
      <c r="Q29" s="116">
        <v>2383</v>
      </c>
      <c r="R29" s="116">
        <v>2476</v>
      </c>
      <c r="S29" s="116">
        <v>2601</v>
      </c>
      <c r="T29" s="116">
        <v>2644</v>
      </c>
      <c r="U29" s="116">
        <v>2767</v>
      </c>
      <c r="V29" s="116">
        <v>2900.7916984693561</v>
      </c>
      <c r="W29" s="128">
        <v>2898.0021830243695</v>
      </c>
      <c r="X29" s="128">
        <v>2912.9619671736637</v>
      </c>
      <c r="Y29" s="128">
        <v>3038</v>
      </c>
      <c r="Z29" s="128">
        <v>3117</v>
      </c>
      <c r="AA29" s="151">
        <v>3022.8513657247549</v>
      </c>
    </row>
    <row r="30" spans="1:27" ht="15" x14ac:dyDescent="0.2">
      <c r="A30" s="117" t="s">
        <v>407</v>
      </c>
      <c r="B30" s="118">
        <v>2179</v>
      </c>
      <c r="C30" s="113" t="s">
        <v>882</v>
      </c>
      <c r="D30" s="113" t="s">
        <v>869</v>
      </c>
      <c r="E30" s="115">
        <v>585</v>
      </c>
      <c r="F30" s="115">
        <v>601</v>
      </c>
      <c r="G30" s="115">
        <v>617</v>
      </c>
      <c r="H30" s="115">
        <v>633</v>
      </c>
      <c r="I30" s="115" t="s">
        <v>954</v>
      </c>
      <c r="J30" s="115" t="s">
        <v>954</v>
      </c>
      <c r="K30" s="115" t="s">
        <v>954</v>
      </c>
      <c r="L30" s="115">
        <v>724</v>
      </c>
      <c r="M30" s="115">
        <v>810</v>
      </c>
      <c r="N30" s="115">
        <v>757</v>
      </c>
      <c r="O30" s="115">
        <v>739</v>
      </c>
      <c r="P30" s="115">
        <v>756.76942743551501</v>
      </c>
      <c r="Q30" s="116">
        <v>754.35933371756744</v>
      </c>
      <c r="R30" s="116">
        <v>754</v>
      </c>
      <c r="T30" t="s">
        <v>868</v>
      </c>
      <c r="U30" s="116" t="s">
        <v>868</v>
      </c>
      <c r="V30" s="116" t="s">
        <v>868</v>
      </c>
      <c r="W30" s="128" t="s">
        <v>868</v>
      </c>
      <c r="X30" s="128" t="s">
        <v>868</v>
      </c>
      <c r="Y30" s="128" t="s">
        <v>868</v>
      </c>
      <c r="Z30" s="128" t="s">
        <v>868</v>
      </c>
      <c r="AA30" s="151" t="s">
        <v>868</v>
      </c>
    </row>
    <row r="31" spans="1:27" ht="15" x14ac:dyDescent="0.2">
      <c r="A31" s="117" t="s">
        <v>407</v>
      </c>
      <c r="B31" s="118">
        <v>2983</v>
      </c>
      <c r="C31" s="113" t="s">
        <v>882</v>
      </c>
      <c r="D31" s="113" t="s">
        <v>869</v>
      </c>
      <c r="E31" s="115">
        <v>37789</v>
      </c>
      <c r="F31" s="115">
        <v>38847</v>
      </c>
      <c r="G31" s="115">
        <v>39935</v>
      </c>
      <c r="H31" s="115">
        <v>40496</v>
      </c>
      <c r="I31" s="115">
        <v>121843</v>
      </c>
      <c r="J31" s="115">
        <v>127429</v>
      </c>
      <c r="K31" s="115">
        <v>131157</v>
      </c>
      <c r="L31" s="115">
        <v>127312</v>
      </c>
      <c r="M31" s="115">
        <v>113335</v>
      </c>
      <c r="N31" s="115">
        <v>124442</v>
      </c>
      <c r="O31" s="115">
        <v>126040</v>
      </c>
      <c r="P31" s="115">
        <v>127985.74597868469</v>
      </c>
      <c r="Q31" s="116">
        <v>128792.00206040712</v>
      </c>
      <c r="R31" s="116">
        <v>128872</v>
      </c>
      <c r="T31" t="s">
        <v>868</v>
      </c>
      <c r="U31" s="116" t="s">
        <v>868</v>
      </c>
      <c r="V31" s="116" t="s">
        <v>868</v>
      </c>
      <c r="W31" s="128" t="s">
        <v>868</v>
      </c>
      <c r="X31" s="128" t="s">
        <v>868</v>
      </c>
      <c r="Y31" s="128" t="s">
        <v>868</v>
      </c>
      <c r="Z31" s="128" t="s">
        <v>868</v>
      </c>
      <c r="AA31" s="151" t="s">
        <v>868</v>
      </c>
    </row>
    <row r="32" spans="1:27" ht="15" x14ac:dyDescent="0.2">
      <c r="A32" s="117" t="s">
        <v>407</v>
      </c>
      <c r="B32" s="118">
        <v>5789</v>
      </c>
      <c r="C32" s="113" t="s">
        <v>882</v>
      </c>
      <c r="D32" s="113" t="s">
        <v>869</v>
      </c>
      <c r="E32" s="115">
        <v>4287</v>
      </c>
      <c r="F32" s="115">
        <v>4407</v>
      </c>
      <c r="G32" s="115">
        <v>4530</v>
      </c>
      <c r="H32" s="115">
        <v>5000</v>
      </c>
      <c r="I32" s="115">
        <v>7633</v>
      </c>
      <c r="J32" s="115">
        <v>7923</v>
      </c>
      <c r="K32" s="115">
        <v>7628</v>
      </c>
      <c r="L32" s="115">
        <v>6902</v>
      </c>
      <c r="M32" s="115">
        <v>7440</v>
      </c>
      <c r="N32" s="115">
        <v>7159</v>
      </c>
      <c r="O32" s="115">
        <v>7784</v>
      </c>
      <c r="P32" s="115">
        <v>7403.0670802314007</v>
      </c>
      <c r="Q32" s="116">
        <f>7540.88189509111+Q30+Q31+Q34</f>
        <v>137135.96688635499</v>
      </c>
      <c r="R32" s="116">
        <f>7727+R30+R31+R34</f>
        <v>137402</v>
      </c>
      <c r="S32" s="116">
        <v>139831</v>
      </c>
      <c r="T32" s="116">
        <v>141263</v>
      </c>
      <c r="U32" s="116">
        <v>143023.99515816916</v>
      </c>
      <c r="V32" s="116">
        <v>144783.04497640612</v>
      </c>
      <c r="W32" s="128">
        <v>146373.85559443885</v>
      </c>
      <c r="X32" s="128">
        <v>149003.1910685882</v>
      </c>
      <c r="Y32" s="128">
        <v>151827</v>
      </c>
      <c r="Z32" s="128">
        <v>154716</v>
      </c>
      <c r="AA32" s="151">
        <v>159114.88337925292</v>
      </c>
    </row>
    <row r="33" spans="1:27" ht="15" x14ac:dyDescent="0.2">
      <c r="A33" s="117" t="s">
        <v>407</v>
      </c>
      <c r="B33" s="118">
        <v>7627</v>
      </c>
      <c r="C33" s="113" t="s">
        <v>413</v>
      </c>
      <c r="D33" s="113" t="s">
        <v>869</v>
      </c>
      <c r="E33" s="115">
        <v>11913</v>
      </c>
      <c r="F33" s="115">
        <v>12247</v>
      </c>
      <c r="G33" s="115">
        <v>12590</v>
      </c>
      <c r="H33" s="115">
        <v>12590</v>
      </c>
      <c r="I33" s="115">
        <v>12590</v>
      </c>
      <c r="J33" s="115">
        <v>13418</v>
      </c>
      <c r="K33" s="115">
        <v>14787</v>
      </c>
      <c r="L33" s="115">
        <v>14787</v>
      </c>
      <c r="M33" s="115">
        <v>14327</v>
      </c>
      <c r="N33" s="115">
        <v>12588</v>
      </c>
      <c r="O33" s="115">
        <v>14710.21503377262</v>
      </c>
      <c r="P33" s="115">
        <v>16378.038245711981</v>
      </c>
      <c r="Q33" s="116">
        <v>16302.742673291123</v>
      </c>
      <c r="R33" s="116">
        <v>16262</v>
      </c>
      <c r="S33" s="116">
        <v>15036</v>
      </c>
      <c r="T33" s="116">
        <v>14726</v>
      </c>
      <c r="U33" s="116">
        <v>15708.376051776579</v>
      </c>
      <c r="V33" s="116">
        <v>16708</v>
      </c>
      <c r="W33" s="128">
        <v>19876.003101770562</v>
      </c>
      <c r="X33" s="128">
        <v>18308.178008535167</v>
      </c>
      <c r="Y33" s="128">
        <v>17232</v>
      </c>
      <c r="Z33" s="128">
        <v>15827</v>
      </c>
      <c r="AA33" s="151">
        <v>15768.9920471595</v>
      </c>
    </row>
    <row r="34" spans="1:27" ht="15" x14ac:dyDescent="0.2">
      <c r="A34" s="117" t="s">
        <v>407</v>
      </c>
      <c r="B34" s="118">
        <v>12011</v>
      </c>
      <c r="C34" s="113" t="s">
        <v>882</v>
      </c>
      <c r="D34" s="113" t="s">
        <v>869</v>
      </c>
      <c r="E34" s="115" t="s">
        <v>954</v>
      </c>
      <c r="F34" s="115" t="s">
        <v>954</v>
      </c>
      <c r="G34" s="115" t="s">
        <v>954</v>
      </c>
      <c r="H34" s="115" t="s">
        <v>954</v>
      </c>
      <c r="I34" s="115" t="s">
        <v>954</v>
      </c>
      <c r="J34" s="115" t="s">
        <v>954</v>
      </c>
      <c r="K34" s="115" t="s">
        <v>954</v>
      </c>
      <c r="L34" s="115">
        <v>44</v>
      </c>
      <c r="M34" s="115">
        <v>44</v>
      </c>
      <c r="N34" s="115">
        <v>46</v>
      </c>
      <c r="O34" s="115">
        <v>50</v>
      </c>
      <c r="P34" s="115">
        <v>48.723597139217496</v>
      </c>
      <c r="Q34" s="116">
        <v>48.723597139217496</v>
      </c>
      <c r="R34" s="116">
        <v>49</v>
      </c>
      <c r="S34" s="116"/>
      <c r="T34" s="116" t="s">
        <v>868</v>
      </c>
      <c r="U34" s="116" t="s">
        <v>868</v>
      </c>
      <c r="V34" s="116" t="s">
        <v>868</v>
      </c>
      <c r="W34" s="128" t="s">
        <v>868</v>
      </c>
      <c r="X34" s="128" t="s">
        <v>868</v>
      </c>
      <c r="Y34" s="128" t="s">
        <v>868</v>
      </c>
      <c r="Z34" s="128" t="s">
        <v>868</v>
      </c>
      <c r="AA34" s="151" t="s">
        <v>868</v>
      </c>
    </row>
    <row r="35" spans="1:27" ht="15" x14ac:dyDescent="0.2">
      <c r="A35" s="113" t="s">
        <v>414</v>
      </c>
      <c r="B35" s="114">
        <v>4167</v>
      </c>
      <c r="C35" s="113" t="s">
        <v>883</v>
      </c>
      <c r="D35" s="113" t="s">
        <v>880</v>
      </c>
      <c r="E35" s="115">
        <v>1135</v>
      </c>
      <c r="F35" s="115">
        <v>1135</v>
      </c>
      <c r="G35" s="115">
        <v>1135</v>
      </c>
      <c r="H35" s="115">
        <v>1332</v>
      </c>
      <c r="I35" s="115">
        <v>1431</v>
      </c>
      <c r="J35" s="115">
        <v>1431</v>
      </c>
      <c r="K35" s="115">
        <v>1431</v>
      </c>
      <c r="L35" s="115">
        <v>1431</v>
      </c>
      <c r="M35" s="115">
        <v>1431</v>
      </c>
      <c r="N35" s="115">
        <v>1361</v>
      </c>
      <c r="O35" s="115">
        <v>1373.7352380559726</v>
      </c>
      <c r="P35" s="115">
        <v>1255.9771154882812</v>
      </c>
      <c r="Q35" s="116">
        <v>1289.6624206007814</v>
      </c>
      <c r="R35" s="116">
        <v>1340</v>
      </c>
      <c r="S35" s="116">
        <v>1419</v>
      </c>
      <c r="T35" s="116">
        <v>1488</v>
      </c>
      <c r="U35" s="116">
        <v>1505.1566882624998</v>
      </c>
      <c r="V35" s="116">
        <v>1334</v>
      </c>
      <c r="W35" s="128">
        <v>1407</v>
      </c>
      <c r="X35" s="128">
        <v>1381.8783508132044</v>
      </c>
      <c r="Y35" s="128">
        <v>1404</v>
      </c>
      <c r="Z35" s="128">
        <v>1896</v>
      </c>
      <c r="AA35" s="151">
        <v>1893</v>
      </c>
    </row>
    <row r="36" spans="1:27" ht="15" x14ac:dyDescent="0.2">
      <c r="A36" s="113" t="s">
        <v>414</v>
      </c>
      <c r="B36" s="114">
        <v>4492</v>
      </c>
      <c r="C36" s="113" t="s">
        <v>418</v>
      </c>
      <c r="D36" s="113" t="s">
        <v>880</v>
      </c>
      <c r="E36" s="115">
        <v>27923</v>
      </c>
      <c r="F36" s="115">
        <v>30529</v>
      </c>
      <c r="G36" s="115">
        <v>32091</v>
      </c>
      <c r="H36" s="115">
        <v>32739</v>
      </c>
      <c r="I36" s="115">
        <v>33546</v>
      </c>
      <c r="J36" s="115">
        <v>39878</v>
      </c>
      <c r="K36" s="115">
        <v>34532</v>
      </c>
      <c r="L36" s="115">
        <v>34049</v>
      </c>
      <c r="M36" s="115">
        <v>34049</v>
      </c>
      <c r="N36" s="115">
        <v>30863</v>
      </c>
      <c r="O36" s="115">
        <v>33229</v>
      </c>
      <c r="P36" s="115">
        <v>33477.42431398113</v>
      </c>
      <c r="Q36" s="116">
        <v>33437.787722110494</v>
      </c>
      <c r="R36" s="116">
        <v>34639</v>
      </c>
      <c r="S36" s="116">
        <v>34535</v>
      </c>
      <c r="T36" s="116">
        <v>36059</v>
      </c>
      <c r="U36" s="116">
        <v>37232</v>
      </c>
      <c r="V36" s="116">
        <v>37306.038580483189</v>
      </c>
      <c r="W36" s="128">
        <v>36857</v>
      </c>
      <c r="X36" s="128">
        <v>33923.043060566932</v>
      </c>
      <c r="Y36" s="128">
        <v>35743</v>
      </c>
      <c r="Z36" s="128">
        <v>36465</v>
      </c>
      <c r="AA36" s="151">
        <v>37181.021843792565</v>
      </c>
    </row>
    <row r="37" spans="1:27" ht="15" x14ac:dyDescent="0.2">
      <c r="A37" s="113" t="s">
        <v>414</v>
      </c>
      <c r="B37" s="114">
        <v>4980</v>
      </c>
      <c r="C37" s="113" t="s">
        <v>422</v>
      </c>
      <c r="D37" s="113" t="s">
        <v>880</v>
      </c>
      <c r="E37" s="115">
        <v>2499</v>
      </c>
      <c r="F37" s="115">
        <v>2572</v>
      </c>
      <c r="G37" s="115">
        <v>2755</v>
      </c>
      <c r="H37" s="115">
        <v>2899</v>
      </c>
      <c r="I37" s="115">
        <v>3085</v>
      </c>
      <c r="J37" s="115">
        <v>3274</v>
      </c>
      <c r="K37" s="115">
        <v>3351</v>
      </c>
      <c r="L37" s="115">
        <v>3369</v>
      </c>
      <c r="M37" s="115">
        <v>3757</v>
      </c>
      <c r="N37" s="115">
        <v>3762</v>
      </c>
      <c r="O37" s="115">
        <v>4377</v>
      </c>
      <c r="P37" s="115">
        <v>4406.8387287740807</v>
      </c>
      <c r="Q37" s="116">
        <v>4406.8387287740807</v>
      </c>
      <c r="R37" s="116">
        <v>4344</v>
      </c>
      <c r="S37" s="116">
        <v>4340</v>
      </c>
      <c r="T37" s="116">
        <v>4340</v>
      </c>
      <c r="U37" s="116">
        <v>4366.5299839044501</v>
      </c>
      <c r="V37" s="116">
        <v>4415.2932629125198</v>
      </c>
      <c r="W37" s="128">
        <v>4459.6236868382184</v>
      </c>
      <c r="X37" s="128">
        <v>4537.2015972012023</v>
      </c>
      <c r="Y37" s="128">
        <v>4670</v>
      </c>
      <c r="Z37" s="128">
        <v>4820</v>
      </c>
      <c r="AA37" s="151">
        <v>4860</v>
      </c>
    </row>
    <row r="38" spans="1:27" ht="15" x14ac:dyDescent="0.2">
      <c r="A38" s="113" t="s">
        <v>414</v>
      </c>
      <c r="B38" s="114">
        <v>5270</v>
      </c>
      <c r="C38" s="113" t="s">
        <v>424</v>
      </c>
      <c r="D38" s="113" t="s">
        <v>880</v>
      </c>
      <c r="E38" s="115">
        <v>4160</v>
      </c>
      <c r="F38" s="115">
        <v>3087</v>
      </c>
      <c r="G38" s="115">
        <v>3280</v>
      </c>
      <c r="H38" s="115">
        <v>3500</v>
      </c>
      <c r="I38" s="115">
        <v>4040</v>
      </c>
      <c r="J38" s="115">
        <v>4045</v>
      </c>
      <c r="K38" s="115">
        <v>3765</v>
      </c>
      <c r="L38" s="115">
        <v>3457</v>
      </c>
      <c r="M38" s="115">
        <v>3056</v>
      </c>
      <c r="N38" s="115">
        <v>3211</v>
      </c>
      <c r="O38" s="115">
        <v>3168</v>
      </c>
      <c r="P38" s="115">
        <v>4127.5809717815755</v>
      </c>
      <c r="Q38" s="116">
        <v>3896.8590930766777</v>
      </c>
      <c r="R38" s="116">
        <v>6892</v>
      </c>
      <c r="S38" s="116">
        <v>7071</v>
      </c>
      <c r="T38" s="116">
        <v>7172</v>
      </c>
      <c r="U38" s="116">
        <v>7234</v>
      </c>
      <c r="V38" s="116">
        <v>7289</v>
      </c>
      <c r="W38" s="128">
        <v>7315.1161180249828</v>
      </c>
      <c r="X38" s="128">
        <v>7395.0696288295812</v>
      </c>
      <c r="Y38" s="128">
        <v>7170</v>
      </c>
      <c r="Z38" s="128">
        <v>7414</v>
      </c>
      <c r="AA38" s="151">
        <v>6905.5691035629243</v>
      </c>
    </row>
    <row r="39" spans="1:27" ht="15" x14ac:dyDescent="0.2">
      <c r="A39" s="113" t="s">
        <v>414</v>
      </c>
      <c r="B39" s="114">
        <v>6029</v>
      </c>
      <c r="C39" s="113" t="s">
        <v>426</v>
      </c>
      <c r="D39" s="113" t="s">
        <v>880</v>
      </c>
      <c r="E39" s="115">
        <v>14393</v>
      </c>
      <c r="F39" s="115">
        <v>14150</v>
      </c>
      <c r="G39" s="115">
        <v>17691</v>
      </c>
      <c r="H39" s="115">
        <v>17691</v>
      </c>
      <c r="I39" s="115">
        <v>17691</v>
      </c>
      <c r="J39" s="115">
        <v>17122</v>
      </c>
      <c r="K39" s="115">
        <v>17539</v>
      </c>
      <c r="L39" s="115">
        <v>17539</v>
      </c>
      <c r="M39" s="115">
        <v>16806</v>
      </c>
      <c r="N39" s="115">
        <v>15252</v>
      </c>
      <c r="O39" s="115">
        <v>19065</v>
      </c>
      <c r="P39" s="115">
        <v>20489.839269932476</v>
      </c>
      <c r="Q39" s="116">
        <v>21225.438862579977</v>
      </c>
      <c r="R39" s="116">
        <v>21488</v>
      </c>
      <c r="S39" s="116">
        <v>21660</v>
      </c>
      <c r="T39" s="116">
        <v>21995</v>
      </c>
      <c r="U39" s="116">
        <v>22149.169706064229</v>
      </c>
      <c r="V39" s="116">
        <v>22356.091580252134</v>
      </c>
      <c r="W39" s="128">
        <v>22456.879951019604</v>
      </c>
      <c r="X39" s="128">
        <v>22645.061707407211</v>
      </c>
      <c r="Y39" s="128">
        <v>22789</v>
      </c>
      <c r="Z39" s="128">
        <v>23026</v>
      </c>
      <c r="AA39" s="151">
        <v>21758.724662772969</v>
      </c>
    </row>
    <row r="40" spans="1:27" ht="15" x14ac:dyDescent="0.2">
      <c r="A40" s="113" t="s">
        <v>414</v>
      </c>
      <c r="B40" s="114">
        <v>6326</v>
      </c>
      <c r="C40" s="113" t="s">
        <v>424</v>
      </c>
      <c r="D40" s="113" t="s">
        <v>880</v>
      </c>
      <c r="E40" s="115">
        <v>1819</v>
      </c>
      <c r="F40" s="115">
        <v>1846</v>
      </c>
      <c r="G40" s="115">
        <v>2515</v>
      </c>
      <c r="H40" s="115">
        <v>2515</v>
      </c>
      <c r="I40" s="115">
        <v>2515</v>
      </c>
      <c r="J40" s="115">
        <v>2515</v>
      </c>
      <c r="K40" s="115">
        <v>2515</v>
      </c>
      <c r="L40" s="115">
        <v>1995</v>
      </c>
      <c r="M40" s="115">
        <v>1995</v>
      </c>
      <c r="N40" s="115">
        <v>2032</v>
      </c>
      <c r="O40" s="115">
        <v>2352</v>
      </c>
      <c r="P40" s="115">
        <v>2308.2237455776249</v>
      </c>
      <c r="Q40" s="116">
        <v>2284.2510394486212</v>
      </c>
      <c r="R40" s="116" t="s">
        <v>868</v>
      </c>
      <c r="S40" s="116" t="s">
        <v>868</v>
      </c>
      <c r="T40" s="116" t="s">
        <v>868</v>
      </c>
      <c r="U40" s="116" t="s">
        <v>868</v>
      </c>
      <c r="V40" s="116" t="s">
        <v>868</v>
      </c>
      <c r="W40" s="128" t="s">
        <v>868</v>
      </c>
      <c r="X40" s="128" t="s">
        <v>868</v>
      </c>
      <c r="Y40" s="128" t="s">
        <v>868</v>
      </c>
      <c r="Z40" s="128" t="s">
        <v>868</v>
      </c>
      <c r="AA40" s="151" t="s">
        <v>868</v>
      </c>
    </row>
    <row r="41" spans="1:27" ht="15" x14ac:dyDescent="0.2">
      <c r="A41" s="113" t="s">
        <v>414</v>
      </c>
      <c r="B41" s="114">
        <v>7139</v>
      </c>
      <c r="C41" s="113" t="s">
        <v>429</v>
      </c>
      <c r="D41" s="113" t="s">
        <v>880</v>
      </c>
      <c r="E41" s="115">
        <v>1420</v>
      </c>
      <c r="F41" s="115">
        <v>1936</v>
      </c>
      <c r="G41" s="115">
        <v>1615</v>
      </c>
      <c r="H41" s="115">
        <v>1700</v>
      </c>
      <c r="I41" s="115">
        <v>1932</v>
      </c>
      <c r="J41" s="115">
        <v>2000</v>
      </c>
      <c r="K41" s="115">
        <v>2000</v>
      </c>
      <c r="L41" s="115">
        <v>2000</v>
      </c>
      <c r="M41" s="115">
        <v>2006</v>
      </c>
      <c r="N41" s="115">
        <v>1624</v>
      </c>
      <c r="O41" s="115">
        <v>1610</v>
      </c>
      <c r="P41" s="115">
        <v>1615.5814239188812</v>
      </c>
      <c r="Q41" s="116">
        <v>1618</v>
      </c>
      <c r="R41" s="116">
        <v>1636</v>
      </c>
      <c r="S41" s="116">
        <v>1664</v>
      </c>
      <c r="T41" s="116">
        <v>1646</v>
      </c>
      <c r="U41" s="116">
        <v>1646</v>
      </c>
      <c r="V41" s="116">
        <v>1646</v>
      </c>
      <c r="W41" s="128">
        <v>1664</v>
      </c>
      <c r="X41" s="128">
        <v>1630.7276671415866</v>
      </c>
      <c r="Y41" s="128">
        <v>1631</v>
      </c>
      <c r="Z41" s="128">
        <v>1631</v>
      </c>
      <c r="AA41" s="151">
        <v>1631</v>
      </c>
    </row>
    <row r="42" spans="1:27" ht="15" x14ac:dyDescent="0.2">
      <c r="A42" s="113" t="s">
        <v>414</v>
      </c>
      <c r="B42" s="114">
        <v>7704</v>
      </c>
      <c r="C42" s="113" t="s">
        <v>884</v>
      </c>
      <c r="D42" s="113" t="s">
        <v>880</v>
      </c>
      <c r="E42" s="115">
        <v>611</v>
      </c>
      <c r="F42" s="115">
        <v>653</v>
      </c>
      <c r="G42" s="115">
        <v>701</v>
      </c>
      <c r="H42" s="115">
        <v>746</v>
      </c>
      <c r="I42" s="115">
        <v>837</v>
      </c>
      <c r="J42" s="115">
        <v>924</v>
      </c>
      <c r="K42" s="115">
        <v>938</v>
      </c>
      <c r="L42" s="115">
        <v>949</v>
      </c>
      <c r="M42" s="115">
        <v>998</v>
      </c>
      <c r="N42" s="115">
        <v>848</v>
      </c>
      <c r="O42" s="115">
        <v>897.08599131872506</v>
      </c>
      <c r="P42" s="115">
        <v>907.79177774379991</v>
      </c>
      <c r="Q42" s="116">
        <v>906.77359453294991</v>
      </c>
      <c r="R42" s="116">
        <v>840</v>
      </c>
      <c r="S42">
        <v>840</v>
      </c>
      <c r="T42" t="s">
        <v>868</v>
      </c>
      <c r="U42" s="116">
        <v>840</v>
      </c>
      <c r="V42" s="116" t="s">
        <v>868</v>
      </c>
      <c r="W42" s="128" t="s">
        <v>868</v>
      </c>
      <c r="X42" s="128" t="s">
        <v>868</v>
      </c>
      <c r="Y42" s="128" t="s">
        <v>868</v>
      </c>
      <c r="Z42" s="128" t="s">
        <v>868</v>
      </c>
      <c r="AA42" s="151" t="s">
        <v>868</v>
      </c>
    </row>
    <row r="43" spans="1:27" ht="15" x14ac:dyDescent="0.2">
      <c r="A43" s="113" t="s">
        <v>414</v>
      </c>
      <c r="B43" s="114">
        <v>9140</v>
      </c>
      <c r="C43" s="113" t="s">
        <v>885</v>
      </c>
      <c r="D43" s="113" t="s">
        <v>880</v>
      </c>
      <c r="E43" s="115">
        <v>0</v>
      </c>
      <c r="F43" s="115">
        <v>0</v>
      </c>
      <c r="G43" s="115">
        <v>0</v>
      </c>
      <c r="H43" s="115">
        <v>0</v>
      </c>
      <c r="I43" s="115">
        <v>0</v>
      </c>
      <c r="J43" s="115">
        <v>0</v>
      </c>
      <c r="K43" s="115">
        <v>0</v>
      </c>
      <c r="L43" s="115">
        <v>0</v>
      </c>
      <c r="M43" s="115">
        <v>0</v>
      </c>
      <c r="N43" s="115">
        <v>0</v>
      </c>
      <c r="O43" s="115" t="s">
        <v>868</v>
      </c>
      <c r="P43" s="115" t="s">
        <v>868</v>
      </c>
      <c r="Q43" s="116"/>
      <c r="R43" s="120" t="s">
        <v>868</v>
      </c>
      <c r="S43" s="120" t="s">
        <v>868</v>
      </c>
      <c r="T43" s="120">
        <v>0</v>
      </c>
      <c r="U43" s="116" t="s">
        <v>868</v>
      </c>
      <c r="V43" s="116" t="s">
        <v>868</v>
      </c>
      <c r="W43" s="128" t="s">
        <v>868</v>
      </c>
      <c r="X43" s="128" t="s">
        <v>868</v>
      </c>
      <c r="Y43" s="128" t="s">
        <v>868</v>
      </c>
      <c r="Z43" s="128" t="s">
        <v>868</v>
      </c>
      <c r="AA43" s="151" t="s">
        <v>868</v>
      </c>
    </row>
    <row r="44" spans="1:27" ht="15" x14ac:dyDescent="0.2">
      <c r="A44" s="113" t="s">
        <v>414</v>
      </c>
      <c r="B44" s="114">
        <v>9490</v>
      </c>
      <c r="C44" s="113" t="s">
        <v>886</v>
      </c>
      <c r="D44" s="113" t="s">
        <v>880</v>
      </c>
      <c r="E44" s="115">
        <v>470</v>
      </c>
      <c r="F44" s="115">
        <v>575</v>
      </c>
      <c r="G44" s="115">
        <v>600</v>
      </c>
      <c r="H44" s="115">
        <v>600</v>
      </c>
      <c r="I44" s="115">
        <v>536</v>
      </c>
      <c r="J44" s="115">
        <v>543</v>
      </c>
      <c r="K44" s="115">
        <v>1266</v>
      </c>
      <c r="L44" s="115">
        <v>536</v>
      </c>
      <c r="M44" s="115">
        <v>527</v>
      </c>
      <c r="N44" s="115">
        <v>763</v>
      </c>
      <c r="O44" s="115">
        <v>729</v>
      </c>
      <c r="P44" s="115">
        <v>518.29706229222256</v>
      </c>
      <c r="Q44" s="116">
        <v>704.26411454325239</v>
      </c>
      <c r="R44" s="116">
        <v>735</v>
      </c>
      <c r="S44" s="116">
        <v>735</v>
      </c>
      <c r="T44" s="116">
        <v>733</v>
      </c>
      <c r="U44" s="116" t="s">
        <v>868</v>
      </c>
      <c r="V44" s="116" t="s">
        <v>868</v>
      </c>
      <c r="W44" s="128" t="s">
        <v>868</v>
      </c>
      <c r="X44" s="128" t="s">
        <v>868</v>
      </c>
      <c r="Y44" s="128" t="s">
        <v>868</v>
      </c>
      <c r="Z44" s="128" t="s">
        <v>868</v>
      </c>
      <c r="AA44" s="151" t="s">
        <v>868</v>
      </c>
    </row>
    <row r="45" spans="1:27" ht="15" x14ac:dyDescent="0.2">
      <c r="A45" s="113" t="s">
        <v>414</v>
      </c>
      <c r="B45" s="114">
        <v>11609</v>
      </c>
      <c r="C45" s="113" t="s">
        <v>424</v>
      </c>
      <c r="D45" s="113" t="s">
        <v>880</v>
      </c>
      <c r="E45" s="115">
        <v>0</v>
      </c>
      <c r="F45" s="115">
        <v>0</v>
      </c>
      <c r="G45" s="115">
        <v>0</v>
      </c>
      <c r="H45" s="115">
        <v>0</v>
      </c>
      <c r="I45" s="115">
        <v>0</v>
      </c>
      <c r="J45" s="115">
        <v>0</v>
      </c>
      <c r="K45" s="115">
        <v>0</v>
      </c>
      <c r="L45" s="115">
        <v>625</v>
      </c>
      <c r="M45" s="115">
        <v>625</v>
      </c>
      <c r="N45" s="115">
        <v>654</v>
      </c>
      <c r="O45" s="115">
        <v>902</v>
      </c>
      <c r="P45" s="115">
        <v>849.30182163105997</v>
      </c>
      <c r="Q45" s="116">
        <v>706.84435944098004</v>
      </c>
      <c r="R45" s="116" t="s">
        <v>868</v>
      </c>
      <c r="S45" s="116" t="s">
        <v>868</v>
      </c>
      <c r="T45" s="116" t="s">
        <v>868</v>
      </c>
      <c r="U45" s="116" t="s">
        <v>868</v>
      </c>
      <c r="V45" s="116" t="s">
        <v>868</v>
      </c>
      <c r="W45" s="128" t="s">
        <v>868</v>
      </c>
      <c r="X45" s="128" t="s">
        <v>868</v>
      </c>
      <c r="Y45" s="128" t="s">
        <v>868</v>
      </c>
      <c r="Z45" s="128" t="s">
        <v>868</v>
      </c>
      <c r="AA45" s="151" t="s">
        <v>868</v>
      </c>
    </row>
    <row r="46" spans="1:27" ht="15" x14ac:dyDescent="0.2">
      <c r="A46" s="113" t="s">
        <v>414</v>
      </c>
      <c r="B46" s="114">
        <v>13099</v>
      </c>
      <c r="C46" s="113" t="s">
        <v>887</v>
      </c>
      <c r="D46" s="113" t="s">
        <v>880</v>
      </c>
      <c r="E46" s="115" t="s">
        <v>954</v>
      </c>
      <c r="F46" s="115" t="s">
        <v>954</v>
      </c>
      <c r="G46" s="115" t="s">
        <v>954</v>
      </c>
      <c r="H46" s="115" t="s">
        <v>954</v>
      </c>
      <c r="I46" s="115" t="s">
        <v>954</v>
      </c>
      <c r="J46" s="115" t="s">
        <v>954</v>
      </c>
      <c r="K46" s="115">
        <v>7617</v>
      </c>
      <c r="L46" s="115">
        <v>7121</v>
      </c>
      <c r="M46" s="115">
        <v>7102</v>
      </c>
      <c r="N46" s="115">
        <v>7042</v>
      </c>
      <c r="O46" s="115">
        <v>7060</v>
      </c>
      <c r="P46" s="115">
        <v>7298.0678798290955</v>
      </c>
      <c r="Q46" s="116">
        <v>7721.1805198290958</v>
      </c>
      <c r="R46" s="116">
        <v>7315</v>
      </c>
      <c r="S46" s="116">
        <v>7321</v>
      </c>
      <c r="T46" s="116">
        <v>7376</v>
      </c>
      <c r="U46" s="116">
        <v>7415.9238484924126</v>
      </c>
      <c r="V46" s="116">
        <v>7485.961104820929</v>
      </c>
      <c r="W46" s="128">
        <v>7542.1387238674461</v>
      </c>
      <c r="X46" s="128">
        <v>7723.760678175001</v>
      </c>
      <c r="Y46" s="128">
        <v>7977</v>
      </c>
      <c r="Z46" s="128">
        <v>8290</v>
      </c>
      <c r="AA46" s="151">
        <v>8296</v>
      </c>
    </row>
    <row r="47" spans="1:27" ht="15" x14ac:dyDescent="0.2">
      <c r="A47" s="113" t="s">
        <v>440</v>
      </c>
      <c r="B47" s="114">
        <v>450</v>
      </c>
      <c r="C47" s="113" t="s">
        <v>888</v>
      </c>
      <c r="D47" s="113" t="s">
        <v>889</v>
      </c>
      <c r="E47" s="115">
        <v>29550</v>
      </c>
      <c r="F47" s="115">
        <v>29887</v>
      </c>
      <c r="G47" s="115">
        <v>29914</v>
      </c>
      <c r="H47" s="115">
        <v>30993</v>
      </c>
      <c r="I47" s="115">
        <v>31577</v>
      </c>
      <c r="J47" s="115">
        <v>31895</v>
      </c>
      <c r="K47" s="115">
        <v>31909</v>
      </c>
      <c r="L47" s="115">
        <v>32354</v>
      </c>
      <c r="M47" s="115">
        <v>30784</v>
      </c>
      <c r="N47" s="115">
        <v>31612</v>
      </c>
      <c r="O47" s="115">
        <v>30465</v>
      </c>
      <c r="P47" s="115">
        <v>31263.930414579612</v>
      </c>
      <c r="Q47" s="116">
        <v>31060.818413639794</v>
      </c>
      <c r="R47" s="116">
        <v>31117</v>
      </c>
      <c r="S47" s="116">
        <v>31250</v>
      </c>
      <c r="T47" s="116">
        <v>34551</v>
      </c>
      <c r="U47" s="116">
        <v>30896</v>
      </c>
      <c r="V47" s="116">
        <v>30896</v>
      </c>
      <c r="W47" s="128">
        <v>31738.270810899099</v>
      </c>
      <c r="X47" s="128">
        <v>31340.8490721862</v>
      </c>
      <c r="Y47" s="128">
        <v>30825</v>
      </c>
      <c r="Z47" s="128">
        <v>33267</v>
      </c>
      <c r="AA47" s="151">
        <v>34139</v>
      </c>
    </row>
    <row r="48" spans="1:27" ht="15" x14ac:dyDescent="0.2">
      <c r="A48" s="113" t="s">
        <v>440</v>
      </c>
      <c r="B48" s="114">
        <v>1776</v>
      </c>
      <c r="C48" s="113" t="s">
        <v>890</v>
      </c>
      <c r="D48" s="113" t="s">
        <v>889</v>
      </c>
      <c r="E48" s="115">
        <v>33786</v>
      </c>
      <c r="F48" s="115">
        <v>34732</v>
      </c>
      <c r="G48" s="115">
        <v>36388</v>
      </c>
      <c r="H48" s="115">
        <v>34528</v>
      </c>
      <c r="I48" s="115">
        <v>35526</v>
      </c>
      <c r="J48" s="115">
        <v>35906</v>
      </c>
      <c r="K48" s="115">
        <v>37476</v>
      </c>
      <c r="L48" s="115">
        <v>36770</v>
      </c>
      <c r="M48" s="115">
        <v>37365</v>
      </c>
      <c r="N48" s="115">
        <v>37369</v>
      </c>
      <c r="O48" s="115">
        <v>38497</v>
      </c>
      <c r="P48" s="115">
        <v>37770.919837822235</v>
      </c>
      <c r="Q48" s="116">
        <v>38691</v>
      </c>
      <c r="R48" s="116">
        <v>39009</v>
      </c>
      <c r="S48" s="116">
        <v>38768</v>
      </c>
      <c r="T48" s="116">
        <v>39444</v>
      </c>
      <c r="U48" s="116">
        <v>40007</v>
      </c>
      <c r="V48" s="116">
        <v>40116</v>
      </c>
      <c r="W48" s="128">
        <v>40248</v>
      </c>
      <c r="X48" s="128">
        <v>41747</v>
      </c>
      <c r="Y48" s="128">
        <v>42056</v>
      </c>
      <c r="Z48" s="128">
        <v>43576</v>
      </c>
      <c r="AA48" s="151">
        <v>46693</v>
      </c>
    </row>
    <row r="49" spans="1:27" ht="15" x14ac:dyDescent="0.2">
      <c r="A49" s="113" t="s">
        <v>440</v>
      </c>
      <c r="B49" s="114">
        <v>2062</v>
      </c>
      <c r="C49" s="113" t="s">
        <v>448</v>
      </c>
      <c r="D49" s="113" t="s">
        <v>889</v>
      </c>
      <c r="E49" s="115">
        <v>521458</v>
      </c>
      <c r="F49" s="115">
        <v>548641</v>
      </c>
      <c r="G49" s="115">
        <v>590828</v>
      </c>
      <c r="H49" s="115">
        <v>605073</v>
      </c>
      <c r="I49" s="115">
        <v>655993</v>
      </c>
      <c r="J49" s="115">
        <v>647131</v>
      </c>
      <c r="K49" s="115">
        <v>653837</v>
      </c>
      <c r="L49" s="115">
        <v>657313</v>
      </c>
      <c r="M49" s="115">
        <v>648577</v>
      </c>
      <c r="N49" s="115">
        <v>559752</v>
      </c>
      <c r="O49" s="115">
        <v>587684</v>
      </c>
      <c r="P49" s="115">
        <v>587780.76917787653</v>
      </c>
      <c r="Q49" s="116">
        <v>590523</v>
      </c>
      <c r="R49" s="116">
        <v>594614</v>
      </c>
      <c r="S49" s="116">
        <v>598955</v>
      </c>
      <c r="T49" s="116">
        <v>611181</v>
      </c>
      <c r="U49" s="116">
        <v>619531.95891473349</v>
      </c>
      <c r="V49" s="116">
        <v>624793.72645363538</v>
      </c>
      <c r="W49" s="128">
        <v>716564</v>
      </c>
      <c r="X49" s="128">
        <v>719482</v>
      </c>
      <c r="Y49" s="128">
        <v>714114</v>
      </c>
      <c r="Z49" s="128">
        <v>725825</v>
      </c>
      <c r="AA49" s="151">
        <v>733866</v>
      </c>
    </row>
    <row r="50" spans="1:27" ht="15" x14ac:dyDescent="0.2">
      <c r="A50" s="113" t="s">
        <v>440</v>
      </c>
      <c r="B50" s="114">
        <v>2285</v>
      </c>
      <c r="C50" s="113" t="s">
        <v>891</v>
      </c>
      <c r="D50" s="113" t="s">
        <v>889</v>
      </c>
      <c r="E50" s="115">
        <v>1330</v>
      </c>
      <c r="F50" s="115">
        <v>938</v>
      </c>
      <c r="G50" s="115">
        <v>1295</v>
      </c>
      <c r="H50" s="115">
        <v>1330</v>
      </c>
      <c r="I50" s="115">
        <v>1325</v>
      </c>
      <c r="J50" s="115">
        <v>1325</v>
      </c>
      <c r="K50" s="115">
        <v>1325</v>
      </c>
      <c r="L50" s="115">
        <v>1326</v>
      </c>
      <c r="M50" s="115">
        <v>1104</v>
      </c>
      <c r="N50" s="115">
        <v>1088</v>
      </c>
      <c r="O50" s="115">
        <v>1135</v>
      </c>
      <c r="P50" s="115">
        <v>1187.7626220024499</v>
      </c>
      <c r="Q50" s="116">
        <v>1187.98768160245</v>
      </c>
      <c r="R50" s="116">
        <v>1170</v>
      </c>
      <c r="S50" s="116">
        <v>1141</v>
      </c>
      <c r="T50" s="116">
        <v>1167</v>
      </c>
      <c r="U50" s="116">
        <v>1193.8937925811149</v>
      </c>
      <c r="V50" s="116">
        <v>1218.754489163</v>
      </c>
      <c r="W50" s="128">
        <v>1252.2702626241537</v>
      </c>
      <c r="X50" s="128">
        <v>1276.6453474085686</v>
      </c>
      <c r="Y50" s="128">
        <v>1313</v>
      </c>
      <c r="Z50" s="128">
        <v>1322</v>
      </c>
      <c r="AA50" s="151">
        <v>1373.2764289834372</v>
      </c>
    </row>
    <row r="51" spans="1:27" ht="15" x14ac:dyDescent="0.2">
      <c r="A51" s="113" t="s">
        <v>440</v>
      </c>
      <c r="B51" s="114">
        <v>2707</v>
      </c>
      <c r="C51" s="113" t="s">
        <v>892</v>
      </c>
      <c r="D51" s="113" t="s">
        <v>889</v>
      </c>
      <c r="E51" s="115">
        <v>2198</v>
      </c>
      <c r="F51" s="115">
        <v>2255</v>
      </c>
      <c r="G51" s="115">
        <v>2280</v>
      </c>
      <c r="H51" s="115">
        <v>2290</v>
      </c>
      <c r="I51" s="115">
        <v>2290</v>
      </c>
      <c r="J51" s="115">
        <v>2290</v>
      </c>
      <c r="K51" s="115">
        <v>2536</v>
      </c>
      <c r="L51" s="115">
        <v>2539</v>
      </c>
      <c r="M51" s="115">
        <v>2539</v>
      </c>
      <c r="N51" s="115">
        <v>2416</v>
      </c>
      <c r="O51" s="115">
        <v>2975.4484242025933</v>
      </c>
      <c r="P51" s="115">
        <v>2986.3356167501402</v>
      </c>
      <c r="Q51" s="116">
        <v>3520.0460334168069</v>
      </c>
      <c r="R51" s="116">
        <v>3520</v>
      </c>
      <c r="S51" s="116"/>
      <c r="T51" s="116" t="s">
        <v>868</v>
      </c>
      <c r="U51" s="116" t="s">
        <v>868</v>
      </c>
      <c r="V51" s="116" t="s">
        <v>868</v>
      </c>
      <c r="W51" s="128" t="s">
        <v>868</v>
      </c>
      <c r="X51" s="128" t="s">
        <v>868</v>
      </c>
      <c r="Y51" s="128" t="s">
        <v>868</v>
      </c>
      <c r="Z51" s="128" t="s">
        <v>868</v>
      </c>
      <c r="AA51" s="151" t="s">
        <v>868</v>
      </c>
    </row>
    <row r="52" spans="1:27" ht="15" x14ac:dyDescent="0.2">
      <c r="A52" s="113" t="s">
        <v>440</v>
      </c>
      <c r="B52" s="114">
        <v>4757</v>
      </c>
      <c r="C52" s="113" t="s">
        <v>893</v>
      </c>
      <c r="D52" s="113" t="s">
        <v>889</v>
      </c>
      <c r="E52" s="115">
        <v>325</v>
      </c>
      <c r="F52" s="115">
        <v>325</v>
      </c>
      <c r="G52" s="115">
        <v>1000</v>
      </c>
      <c r="H52" s="115">
        <v>1000</v>
      </c>
      <c r="I52" s="115">
        <v>1000</v>
      </c>
      <c r="J52" s="115">
        <v>1000</v>
      </c>
      <c r="K52" s="115">
        <v>1000</v>
      </c>
      <c r="L52" s="115">
        <v>1000</v>
      </c>
      <c r="M52" s="115">
        <v>1000</v>
      </c>
      <c r="N52" s="115">
        <v>646</v>
      </c>
      <c r="O52" s="115">
        <v>1421.9832042083069</v>
      </c>
      <c r="P52" s="115" t="s">
        <v>868</v>
      </c>
      <c r="Q52" s="116"/>
      <c r="R52" s="120" t="s">
        <v>868</v>
      </c>
      <c r="S52" s="116" t="s">
        <v>868</v>
      </c>
      <c r="T52" s="116" t="s">
        <v>868</v>
      </c>
      <c r="U52" s="116" t="s">
        <v>868</v>
      </c>
      <c r="V52" s="116" t="s">
        <v>868</v>
      </c>
      <c r="W52" s="128" t="s">
        <v>868</v>
      </c>
      <c r="X52" s="128" t="s">
        <v>868</v>
      </c>
      <c r="Y52" s="128" t="s">
        <v>868</v>
      </c>
      <c r="Z52" s="128" t="s">
        <v>868</v>
      </c>
      <c r="AA52" s="151" t="s">
        <v>868</v>
      </c>
    </row>
    <row r="53" spans="1:27" ht="15" x14ac:dyDescent="0.2">
      <c r="A53" s="113" t="s">
        <v>440</v>
      </c>
      <c r="B53" s="114">
        <v>6312</v>
      </c>
      <c r="C53" s="113" t="s">
        <v>894</v>
      </c>
      <c r="D53" s="113" t="s">
        <v>889</v>
      </c>
      <c r="E53" s="115" t="s">
        <v>954</v>
      </c>
      <c r="F53" s="115" t="s">
        <v>954</v>
      </c>
      <c r="G53" s="115" t="s">
        <v>954</v>
      </c>
      <c r="H53" s="115" t="s">
        <v>954</v>
      </c>
      <c r="I53" s="115" t="s">
        <v>954</v>
      </c>
      <c r="J53" s="115" t="s">
        <v>954</v>
      </c>
      <c r="K53" s="115" t="s">
        <v>954</v>
      </c>
      <c r="L53" s="115" t="s">
        <v>954</v>
      </c>
      <c r="M53" s="115" t="s">
        <v>954</v>
      </c>
      <c r="N53" s="115" t="s">
        <v>954</v>
      </c>
      <c r="O53" s="115" t="s">
        <v>868</v>
      </c>
      <c r="P53" s="115" t="s">
        <v>868</v>
      </c>
      <c r="Q53" s="116" t="s">
        <v>868</v>
      </c>
      <c r="R53" s="116" t="s">
        <v>868</v>
      </c>
      <c r="S53" s="116" t="s">
        <v>868</v>
      </c>
      <c r="T53" s="116" t="s">
        <v>868</v>
      </c>
      <c r="U53" s="116" t="s">
        <v>868</v>
      </c>
      <c r="V53" s="116" t="s">
        <v>868</v>
      </c>
      <c r="W53" s="128" t="s">
        <v>868</v>
      </c>
      <c r="X53" s="128" t="s">
        <v>868</v>
      </c>
      <c r="Y53" s="128" t="s">
        <v>868</v>
      </c>
      <c r="Z53" s="128" t="s">
        <v>868</v>
      </c>
      <c r="AA53" s="151" t="s">
        <v>868</v>
      </c>
    </row>
    <row r="54" spans="1:27" ht="15" x14ac:dyDescent="0.2">
      <c r="A54" s="113" t="s">
        <v>440</v>
      </c>
      <c r="B54" s="114">
        <v>6879</v>
      </c>
      <c r="C54" s="113" t="s">
        <v>895</v>
      </c>
      <c r="D54" s="113" t="s">
        <v>889</v>
      </c>
      <c r="E54" s="115">
        <v>2830</v>
      </c>
      <c r="F54" s="115">
        <v>2830</v>
      </c>
      <c r="G54" s="115">
        <v>2830</v>
      </c>
      <c r="H54" s="115">
        <v>2830</v>
      </c>
      <c r="I54" s="115">
        <v>2830</v>
      </c>
      <c r="J54" s="115">
        <v>2830</v>
      </c>
      <c r="K54" s="115">
        <v>2830</v>
      </c>
      <c r="L54" s="115">
        <v>2193</v>
      </c>
      <c r="M54" s="115">
        <v>2008</v>
      </c>
      <c r="N54" s="115">
        <v>2006</v>
      </c>
      <c r="O54" s="115">
        <v>2022.5256703583061</v>
      </c>
      <c r="P54" s="115">
        <v>2014.7063050937411</v>
      </c>
      <c r="Q54" s="116">
        <v>2014.7063050937411</v>
      </c>
      <c r="R54" s="116">
        <v>2015</v>
      </c>
      <c r="S54" s="116">
        <v>2124</v>
      </c>
      <c r="T54" s="116">
        <v>2018</v>
      </c>
      <c r="U54" s="116">
        <v>2035.5481634138903</v>
      </c>
      <c r="V54" s="116">
        <v>2315.1755135074363</v>
      </c>
      <c r="W54" s="128">
        <v>2415.9107503322361</v>
      </c>
      <c r="X54" s="128">
        <v>2415.9107106729807</v>
      </c>
      <c r="Y54" s="128">
        <v>2124</v>
      </c>
      <c r="Z54" s="128">
        <v>2395</v>
      </c>
      <c r="AA54" s="151">
        <v>2280.1202271327415</v>
      </c>
    </row>
    <row r="55" spans="1:27" ht="15" x14ac:dyDescent="0.2">
      <c r="A55" s="113" t="s">
        <v>440</v>
      </c>
      <c r="B55" s="114">
        <v>7002</v>
      </c>
      <c r="C55" s="113" t="s">
        <v>896</v>
      </c>
      <c r="D55" s="113" t="s">
        <v>889</v>
      </c>
      <c r="E55" s="115">
        <v>1074</v>
      </c>
      <c r="F55" s="115">
        <v>1044</v>
      </c>
      <c r="G55" s="115">
        <v>1044</v>
      </c>
      <c r="H55" s="115">
        <v>1044</v>
      </c>
      <c r="I55" s="115">
        <v>1044</v>
      </c>
      <c r="J55" s="115">
        <v>1044</v>
      </c>
      <c r="K55" s="115">
        <v>1044</v>
      </c>
      <c r="L55" s="115">
        <v>1044</v>
      </c>
      <c r="M55" s="115">
        <v>1044</v>
      </c>
      <c r="N55" s="115">
        <v>0</v>
      </c>
      <c r="O55" s="115">
        <v>915.98472425609441</v>
      </c>
      <c r="P55" s="115" t="s">
        <v>868</v>
      </c>
      <c r="Q55" s="116"/>
      <c r="R55" s="120" t="s">
        <v>868</v>
      </c>
      <c r="S55" s="120" t="s">
        <v>868</v>
      </c>
      <c r="T55" s="120" t="s">
        <v>868</v>
      </c>
      <c r="U55" s="116" t="s">
        <v>868</v>
      </c>
      <c r="V55" s="116" t="s">
        <v>868</v>
      </c>
      <c r="W55" s="128" t="s">
        <v>868</v>
      </c>
      <c r="X55" s="128" t="s">
        <v>868</v>
      </c>
      <c r="Y55" s="128" t="s">
        <v>868</v>
      </c>
      <c r="Z55" s="128" t="s">
        <v>868</v>
      </c>
      <c r="AA55" s="151" t="s">
        <v>868</v>
      </c>
    </row>
    <row r="56" spans="1:27" ht="15" x14ac:dyDescent="0.2">
      <c r="A56" s="113" t="s">
        <v>440</v>
      </c>
      <c r="B56" s="114">
        <v>7637</v>
      </c>
      <c r="C56" s="113" t="s">
        <v>462</v>
      </c>
      <c r="D56" s="113" t="s">
        <v>889</v>
      </c>
      <c r="E56" s="115">
        <v>474</v>
      </c>
      <c r="F56" s="115">
        <v>680</v>
      </c>
      <c r="G56" s="115">
        <v>976</v>
      </c>
      <c r="H56" s="115">
        <v>976</v>
      </c>
      <c r="I56" s="115">
        <v>754</v>
      </c>
      <c r="J56" s="115">
        <v>906</v>
      </c>
      <c r="K56" s="115">
        <v>916</v>
      </c>
      <c r="L56" s="115">
        <v>916</v>
      </c>
      <c r="M56" s="115">
        <v>916</v>
      </c>
      <c r="N56" s="115">
        <v>991</v>
      </c>
      <c r="O56" s="115">
        <v>1035.9607421621561</v>
      </c>
      <c r="P56" s="115">
        <v>1039.2614276855938</v>
      </c>
      <c r="Q56" s="116">
        <v>1105.5972634953123</v>
      </c>
      <c r="R56" s="116">
        <v>1061</v>
      </c>
      <c r="S56" s="116">
        <v>1106</v>
      </c>
      <c r="T56" s="116">
        <v>1132</v>
      </c>
      <c r="U56" s="116">
        <v>1192.0348677322188</v>
      </c>
      <c r="V56" s="116">
        <v>1264.4012340700936</v>
      </c>
      <c r="W56" s="128">
        <v>1264.4011782674152</v>
      </c>
      <c r="X56" s="128">
        <v>1258.3706642791094</v>
      </c>
      <c r="Y56" s="128">
        <v>1315</v>
      </c>
      <c r="Z56" s="128">
        <v>1385</v>
      </c>
      <c r="AA56" s="151">
        <v>1378.3958479362752</v>
      </c>
    </row>
    <row r="57" spans="1:27" ht="15" x14ac:dyDescent="0.2">
      <c r="A57" s="113" t="s">
        <v>440</v>
      </c>
      <c r="B57" s="114">
        <v>7790</v>
      </c>
      <c r="C57" s="113" t="s">
        <v>897</v>
      </c>
      <c r="D57" s="113" t="s">
        <v>889</v>
      </c>
      <c r="E57" s="115">
        <v>1175</v>
      </c>
      <c r="F57" s="115">
        <v>1175</v>
      </c>
      <c r="G57" s="115">
        <v>1225</v>
      </c>
      <c r="H57" s="115">
        <v>1225</v>
      </c>
      <c r="I57" s="115">
        <v>1228</v>
      </c>
      <c r="J57" s="115">
        <v>1000</v>
      </c>
      <c r="K57" s="115">
        <v>1000</v>
      </c>
      <c r="L57" s="115">
        <v>1044</v>
      </c>
      <c r="M57" s="115">
        <v>1044</v>
      </c>
      <c r="N57" s="115">
        <v>629</v>
      </c>
      <c r="O57" s="115">
        <v>780</v>
      </c>
      <c r="P57" s="115">
        <v>830</v>
      </c>
      <c r="Q57" s="116">
        <v>825</v>
      </c>
      <c r="R57" s="116">
        <v>1252</v>
      </c>
      <c r="S57" s="116">
        <v>1252</v>
      </c>
      <c r="T57" s="116">
        <v>1355</v>
      </c>
      <c r="U57" s="116">
        <v>1392.8989302455202</v>
      </c>
      <c r="V57" s="116">
        <v>1438.6928676782495</v>
      </c>
      <c r="W57" s="128">
        <v>1480.6709250140264</v>
      </c>
      <c r="X57" s="128">
        <v>2186.6609071443963</v>
      </c>
      <c r="Y57" s="128">
        <v>2225</v>
      </c>
      <c r="Z57" s="128">
        <v>2278</v>
      </c>
      <c r="AA57" s="151">
        <v>2447.4302604580153</v>
      </c>
    </row>
    <row r="58" spans="1:27" ht="15" x14ac:dyDescent="0.2">
      <c r="A58" s="113" t="s">
        <v>440</v>
      </c>
      <c r="B58" s="114">
        <v>10443</v>
      </c>
      <c r="C58" s="113" t="s">
        <v>898</v>
      </c>
      <c r="D58" s="113" t="s">
        <v>889</v>
      </c>
      <c r="E58" s="115">
        <v>3076</v>
      </c>
      <c r="F58" s="115">
        <v>3081</v>
      </c>
      <c r="G58" s="115">
        <v>3025</v>
      </c>
      <c r="H58" s="115">
        <v>3080</v>
      </c>
      <c r="I58" s="115">
        <v>3080</v>
      </c>
      <c r="J58" s="115">
        <v>3080</v>
      </c>
      <c r="K58" s="115">
        <v>3080</v>
      </c>
      <c r="L58" s="115">
        <v>3080</v>
      </c>
      <c r="M58" s="115">
        <v>2929</v>
      </c>
      <c r="N58" s="115">
        <v>2911</v>
      </c>
      <c r="O58" s="115">
        <v>2731.7989105100687</v>
      </c>
      <c r="P58" s="115">
        <v>2781.7315768381586</v>
      </c>
      <c r="Q58" s="116">
        <v>2754.5662294080985</v>
      </c>
      <c r="R58" s="116">
        <v>2755</v>
      </c>
      <c r="S58" s="116">
        <v>2755</v>
      </c>
      <c r="T58" s="116">
        <v>2776</v>
      </c>
      <c r="U58" s="116">
        <v>2776.2979473528426</v>
      </c>
      <c r="V58" s="116">
        <v>2776.2979473528426</v>
      </c>
      <c r="W58" s="128">
        <v>2755</v>
      </c>
      <c r="X58" s="128">
        <v>2776.2985653687424</v>
      </c>
      <c r="Y58" s="128">
        <v>2774</v>
      </c>
      <c r="Z58" s="128">
        <v>2755</v>
      </c>
      <c r="AA58" s="151">
        <v>2711.1942499680154</v>
      </c>
    </row>
    <row r="59" spans="1:27" ht="15" x14ac:dyDescent="0.2">
      <c r="A59" s="113" t="s">
        <v>440</v>
      </c>
      <c r="B59" s="114">
        <v>11732</v>
      </c>
      <c r="C59" s="113" t="s">
        <v>894</v>
      </c>
      <c r="D59" s="113" t="s">
        <v>889</v>
      </c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6" t="s">
        <v>868</v>
      </c>
      <c r="R59" s="116" t="s">
        <v>868</v>
      </c>
      <c r="S59" s="116" t="s">
        <v>868</v>
      </c>
      <c r="T59" s="116">
        <v>0</v>
      </c>
      <c r="U59" s="116" t="s">
        <v>868</v>
      </c>
      <c r="V59" s="116" t="s">
        <v>868</v>
      </c>
      <c r="W59" s="128" t="s">
        <v>868</v>
      </c>
      <c r="X59" s="128" t="s">
        <v>868</v>
      </c>
      <c r="Y59" s="128" t="s">
        <v>868</v>
      </c>
      <c r="Z59" s="128" t="s">
        <v>868</v>
      </c>
      <c r="AA59" s="151" t="s">
        <v>868</v>
      </c>
    </row>
    <row r="60" spans="1:27" ht="15" x14ac:dyDescent="0.2">
      <c r="A60" s="117" t="s">
        <v>440</v>
      </c>
      <c r="B60" s="118">
        <v>11771</v>
      </c>
      <c r="C60" s="113" t="s">
        <v>894</v>
      </c>
      <c r="D60" s="113" t="s">
        <v>889</v>
      </c>
      <c r="E60" s="115"/>
      <c r="F60" s="115"/>
      <c r="G60" s="115"/>
      <c r="H60" s="115"/>
      <c r="I60" s="115"/>
      <c r="J60" s="115"/>
      <c r="K60" s="115"/>
      <c r="L60" s="115"/>
      <c r="M60" s="115"/>
      <c r="N60" s="115"/>
      <c r="O60" s="115"/>
      <c r="P60" s="115"/>
      <c r="Q60" s="116" t="s">
        <v>868</v>
      </c>
      <c r="R60" s="116" t="s">
        <v>868</v>
      </c>
      <c r="S60" s="116" t="s">
        <v>868</v>
      </c>
      <c r="T60" s="116">
        <v>0</v>
      </c>
      <c r="U60" s="116" t="s">
        <v>868</v>
      </c>
      <c r="V60" s="116" t="s">
        <v>868</v>
      </c>
      <c r="W60" s="128" t="s">
        <v>868</v>
      </c>
      <c r="X60" s="128" t="s">
        <v>868</v>
      </c>
      <c r="Y60" s="128" t="s">
        <v>868</v>
      </c>
      <c r="Z60" s="128" t="s">
        <v>868</v>
      </c>
      <c r="AA60" s="151" t="s">
        <v>868</v>
      </c>
    </row>
    <row r="61" spans="1:27" ht="15" x14ac:dyDescent="0.2">
      <c r="A61" s="113" t="s">
        <v>440</v>
      </c>
      <c r="B61" s="114">
        <v>11794</v>
      </c>
      <c r="C61" s="113" t="s">
        <v>894</v>
      </c>
      <c r="D61" s="113" t="s">
        <v>889</v>
      </c>
      <c r="E61" s="115"/>
      <c r="F61" s="115"/>
      <c r="G61" s="115"/>
      <c r="H61" s="115"/>
      <c r="I61" s="115"/>
      <c r="J61" s="115"/>
      <c r="K61" s="115"/>
      <c r="L61" s="115"/>
      <c r="M61" s="115"/>
      <c r="N61" s="115"/>
      <c r="O61" s="115"/>
      <c r="P61" s="115"/>
      <c r="Q61" s="116" t="s">
        <v>868</v>
      </c>
      <c r="R61" s="116" t="s">
        <v>868</v>
      </c>
      <c r="S61" s="116" t="s">
        <v>868</v>
      </c>
      <c r="T61" s="116">
        <v>0</v>
      </c>
      <c r="U61" s="116" t="s">
        <v>868</v>
      </c>
      <c r="V61" s="116" t="s">
        <v>868</v>
      </c>
      <c r="W61" s="128" t="s">
        <v>868</v>
      </c>
      <c r="X61" s="128" t="s">
        <v>868</v>
      </c>
      <c r="Y61" s="128" t="s">
        <v>868</v>
      </c>
      <c r="Z61" s="128" t="s">
        <v>868</v>
      </c>
      <c r="AA61" s="151" t="s">
        <v>868</v>
      </c>
    </row>
    <row r="62" spans="1:27" ht="15" x14ac:dyDescent="0.2">
      <c r="A62" s="113" t="s">
        <v>440</v>
      </c>
      <c r="B62" s="114">
        <v>11796</v>
      </c>
      <c r="C62" s="113" t="s">
        <v>894</v>
      </c>
      <c r="D62" s="113" t="s">
        <v>889</v>
      </c>
      <c r="E62" s="115"/>
      <c r="F62" s="115"/>
      <c r="G62" s="115"/>
      <c r="H62" s="115"/>
      <c r="I62" s="115"/>
      <c r="J62" s="115"/>
      <c r="K62" s="115"/>
      <c r="L62" s="115"/>
      <c r="M62" s="115"/>
      <c r="N62" s="115"/>
      <c r="O62" s="115"/>
      <c r="P62" s="115"/>
      <c r="Q62" s="116" t="s">
        <v>868</v>
      </c>
      <c r="R62" s="116" t="s">
        <v>868</v>
      </c>
      <c r="S62" s="116" t="s">
        <v>868</v>
      </c>
      <c r="T62" s="116">
        <v>0</v>
      </c>
      <c r="U62" s="116" t="s">
        <v>868</v>
      </c>
      <c r="V62" s="116" t="s">
        <v>868</v>
      </c>
      <c r="W62" s="128" t="s">
        <v>868</v>
      </c>
      <c r="X62" s="128" t="s">
        <v>868</v>
      </c>
      <c r="Y62" s="128" t="s">
        <v>868</v>
      </c>
      <c r="Z62" s="128" t="s">
        <v>868</v>
      </c>
      <c r="AA62" s="151" t="s">
        <v>868</v>
      </c>
    </row>
    <row r="63" spans="1:27" ht="15" x14ac:dyDescent="0.2">
      <c r="A63" s="113" t="s">
        <v>440</v>
      </c>
      <c r="B63" s="114">
        <v>12994</v>
      </c>
      <c r="C63" s="113" t="s">
        <v>899</v>
      </c>
      <c r="D63" s="113" t="s">
        <v>889</v>
      </c>
      <c r="E63" s="115" t="s">
        <v>954</v>
      </c>
      <c r="F63" s="115" t="s">
        <v>954</v>
      </c>
      <c r="G63" s="115" t="s">
        <v>954</v>
      </c>
      <c r="H63" s="115" t="s">
        <v>954</v>
      </c>
      <c r="I63" s="115" t="s">
        <v>954</v>
      </c>
      <c r="J63" s="115">
        <v>3900</v>
      </c>
      <c r="K63" s="115">
        <v>4928</v>
      </c>
      <c r="L63" s="115">
        <v>3945</v>
      </c>
      <c r="M63" s="115">
        <v>3945</v>
      </c>
      <c r="N63" s="115">
        <v>0</v>
      </c>
      <c r="O63" s="115">
        <v>3468</v>
      </c>
      <c r="P63" s="115">
        <v>3483.3243212385501</v>
      </c>
      <c r="Q63" s="116">
        <v>3483.3243212385501</v>
      </c>
      <c r="R63" s="116">
        <v>3483</v>
      </c>
      <c r="S63" s="116" t="s">
        <v>868</v>
      </c>
      <c r="T63" s="116" t="s">
        <v>868</v>
      </c>
      <c r="U63" s="116" t="s">
        <v>868</v>
      </c>
      <c r="V63" s="116" t="s">
        <v>868</v>
      </c>
      <c r="W63" s="128" t="s">
        <v>868</v>
      </c>
      <c r="X63" s="128" t="s">
        <v>868</v>
      </c>
      <c r="Y63" s="128" t="s">
        <v>868</v>
      </c>
      <c r="Z63" s="128" t="s">
        <v>868</v>
      </c>
      <c r="AA63" s="151" t="s">
        <v>868</v>
      </c>
    </row>
    <row r="64" spans="1:27" ht="15" x14ac:dyDescent="0.2">
      <c r="A64" s="113" t="s">
        <v>440</v>
      </c>
      <c r="B64" s="114">
        <v>20141</v>
      </c>
      <c r="C64" s="113" t="s">
        <v>900</v>
      </c>
      <c r="D64" s="113" t="s">
        <v>889</v>
      </c>
      <c r="E64" s="115" t="s">
        <v>954</v>
      </c>
      <c r="F64" s="115">
        <v>361714</v>
      </c>
      <c r="G64" s="115">
        <v>403245</v>
      </c>
      <c r="H64" s="115">
        <v>431725</v>
      </c>
      <c r="I64" s="115">
        <v>443175</v>
      </c>
      <c r="J64" s="115">
        <v>488728</v>
      </c>
      <c r="K64" s="115">
        <v>488933</v>
      </c>
      <c r="L64" s="115">
        <v>498798</v>
      </c>
      <c r="M64" s="115">
        <v>498798</v>
      </c>
      <c r="N64" s="115">
        <v>498003</v>
      </c>
      <c r="O64" s="115">
        <v>534982</v>
      </c>
      <c r="P64" s="115">
        <v>551911.08298230357</v>
      </c>
      <c r="Q64" s="116">
        <v>542505.74254447746</v>
      </c>
      <c r="R64" s="116">
        <v>541328</v>
      </c>
      <c r="S64" s="116">
        <v>571715</v>
      </c>
      <c r="T64" s="116">
        <v>595348</v>
      </c>
      <c r="U64" s="116">
        <v>614035</v>
      </c>
      <c r="V64" s="116">
        <v>632342.47286984127</v>
      </c>
      <c r="W64" s="128">
        <v>652107.08575946547</v>
      </c>
      <c r="X64" s="128">
        <v>670578.93387739535</v>
      </c>
      <c r="Y64" s="128">
        <v>686470</v>
      </c>
      <c r="Z64" s="128">
        <v>702655</v>
      </c>
      <c r="AA64" s="151">
        <v>724553</v>
      </c>
    </row>
    <row r="65" spans="1:27" ht="15" x14ac:dyDescent="0.2">
      <c r="A65" s="117" t="s">
        <v>473</v>
      </c>
      <c r="B65" s="118">
        <v>5640</v>
      </c>
      <c r="C65" s="119" t="s">
        <v>475</v>
      </c>
      <c r="D65" s="119" t="s">
        <v>869</v>
      </c>
      <c r="E65" s="115">
        <v>2982</v>
      </c>
      <c r="F65" s="115">
        <v>3058.0410000000002</v>
      </c>
      <c r="G65" s="115">
        <v>3395</v>
      </c>
      <c r="H65" s="115">
        <v>3400</v>
      </c>
      <c r="I65" s="115">
        <v>3495</v>
      </c>
      <c r="J65" s="115">
        <v>3588</v>
      </c>
      <c r="K65" s="115">
        <v>3820</v>
      </c>
      <c r="L65" s="115">
        <v>3870</v>
      </c>
      <c r="M65" s="115">
        <v>3173</v>
      </c>
      <c r="N65" s="115">
        <v>3168</v>
      </c>
      <c r="O65" s="115">
        <v>3236.1447812500001</v>
      </c>
      <c r="P65" s="115">
        <v>3238.9104224653779</v>
      </c>
      <c r="Q65" s="116">
        <v>3217.6021462309359</v>
      </c>
      <c r="R65" s="116">
        <v>3241</v>
      </c>
      <c r="S65" s="116">
        <v>3210</v>
      </c>
      <c r="T65" s="116">
        <v>3223</v>
      </c>
      <c r="U65" s="116">
        <v>3280.4921694670647</v>
      </c>
      <c r="V65" s="116">
        <v>3265.4344317401037</v>
      </c>
      <c r="W65" s="128">
        <v>3274.8810207590373</v>
      </c>
      <c r="X65" s="128">
        <v>3319.2773348761443</v>
      </c>
      <c r="Y65" s="128">
        <v>4923</v>
      </c>
      <c r="Z65" s="128">
        <v>4973.0973086044933</v>
      </c>
      <c r="AA65" s="151">
        <v>4759.8818813138705</v>
      </c>
    </row>
    <row r="66" spans="1:27" ht="15" x14ac:dyDescent="0.2">
      <c r="A66" s="117" t="s">
        <v>473</v>
      </c>
      <c r="B66" s="118">
        <v>7755</v>
      </c>
      <c r="C66" s="119" t="s">
        <v>477</v>
      </c>
      <c r="D66" s="119" t="s">
        <v>869</v>
      </c>
      <c r="E66" s="115">
        <v>623</v>
      </c>
      <c r="F66" s="115">
        <v>661</v>
      </c>
      <c r="G66" s="115">
        <v>679</v>
      </c>
      <c r="H66" s="115">
        <v>702</v>
      </c>
      <c r="I66" s="115">
        <v>705</v>
      </c>
      <c r="J66" s="115">
        <v>760</v>
      </c>
      <c r="K66" s="115">
        <v>760</v>
      </c>
      <c r="L66" s="115">
        <v>760</v>
      </c>
      <c r="M66" s="115">
        <v>765</v>
      </c>
      <c r="N66" s="115">
        <v>844</v>
      </c>
      <c r="O66" s="115">
        <v>870</v>
      </c>
      <c r="P66" s="115">
        <v>900.80326873176739</v>
      </c>
      <c r="Q66" s="116">
        <v>906</v>
      </c>
      <c r="R66" s="116">
        <v>866</v>
      </c>
      <c r="S66" s="116">
        <v>856</v>
      </c>
      <c r="T66" s="116">
        <v>856</v>
      </c>
      <c r="U66" s="116" t="s">
        <v>868</v>
      </c>
      <c r="V66" s="116" t="s">
        <v>868</v>
      </c>
      <c r="W66" s="128" t="s">
        <v>868</v>
      </c>
      <c r="X66" s="128" t="s">
        <v>868</v>
      </c>
      <c r="Y66" s="128" t="s">
        <v>868</v>
      </c>
      <c r="Z66" s="128" t="s">
        <v>868</v>
      </c>
      <c r="AA66" s="151" t="s">
        <v>868</v>
      </c>
    </row>
    <row r="67" spans="1:27" ht="15" x14ac:dyDescent="0.2">
      <c r="A67" s="117" t="s">
        <v>473</v>
      </c>
      <c r="B67" s="118">
        <v>8953</v>
      </c>
      <c r="C67" s="119" t="s">
        <v>481</v>
      </c>
      <c r="D67" s="119" t="s">
        <v>869</v>
      </c>
      <c r="E67" s="115">
        <v>1318</v>
      </c>
      <c r="F67" s="115">
        <v>1352</v>
      </c>
      <c r="G67" s="115">
        <v>1400</v>
      </c>
      <c r="H67" s="115">
        <v>1400</v>
      </c>
      <c r="I67" s="115">
        <v>1400</v>
      </c>
      <c r="J67" s="115">
        <v>1500</v>
      </c>
      <c r="K67" s="115">
        <v>1400</v>
      </c>
      <c r="L67" s="115">
        <v>1400</v>
      </c>
      <c r="M67" s="115">
        <v>1400</v>
      </c>
      <c r="N67" s="115">
        <v>1741</v>
      </c>
      <c r="O67" s="115">
        <v>1500.891997063683</v>
      </c>
      <c r="P67" s="115">
        <v>1482.4886701070182</v>
      </c>
      <c r="Q67" s="116">
        <v>1657.4624048739524</v>
      </c>
      <c r="R67" s="116">
        <v>1606</v>
      </c>
      <c r="S67" s="116">
        <v>1628</v>
      </c>
      <c r="T67" s="116">
        <v>1632</v>
      </c>
      <c r="U67" s="116">
        <v>1647.5213599421554</v>
      </c>
      <c r="V67" s="116">
        <v>1649.9029011381811</v>
      </c>
      <c r="W67" s="128">
        <v>1659.4271957961359</v>
      </c>
      <c r="X67" s="128">
        <v>1664.6439968700677</v>
      </c>
      <c r="Y67" s="128">
        <v>1633</v>
      </c>
      <c r="Z67" s="128">
        <v>1657.5743391854153</v>
      </c>
      <c r="AA67" s="151">
        <v>1484.235403180606</v>
      </c>
    </row>
    <row r="68" spans="1:27" ht="15" x14ac:dyDescent="0.2">
      <c r="A68" s="113" t="s">
        <v>482</v>
      </c>
      <c r="B68" s="114">
        <v>6392</v>
      </c>
      <c r="C68" s="113" t="s">
        <v>901</v>
      </c>
      <c r="D68" s="113" t="s">
        <v>863</v>
      </c>
      <c r="E68" s="115">
        <v>49733</v>
      </c>
      <c r="F68" s="115">
        <v>49958</v>
      </c>
      <c r="G68" s="115">
        <v>52181</v>
      </c>
      <c r="H68" s="115">
        <v>52599</v>
      </c>
      <c r="I68" s="115">
        <v>54304</v>
      </c>
      <c r="J68" s="115">
        <v>54911</v>
      </c>
      <c r="K68" s="115">
        <v>54409</v>
      </c>
      <c r="L68" s="115">
        <v>54184</v>
      </c>
      <c r="M68" s="115">
        <v>54411</v>
      </c>
      <c r="N68" s="115">
        <v>55180</v>
      </c>
      <c r="O68" s="115">
        <v>62913.235460082396</v>
      </c>
      <c r="P68" s="115">
        <v>65614.481897782593</v>
      </c>
      <c r="Q68" s="116">
        <v>66787.863672614098</v>
      </c>
      <c r="R68" s="116">
        <v>70583</v>
      </c>
      <c r="S68" s="116">
        <v>72587</v>
      </c>
      <c r="T68" s="116">
        <v>66167</v>
      </c>
      <c r="U68" s="116">
        <v>65813.792020029214</v>
      </c>
      <c r="V68" s="116">
        <v>71749.204424195894</v>
      </c>
      <c r="W68" s="128">
        <v>70311.114359743922</v>
      </c>
      <c r="X68" s="128">
        <v>75465.885364008311</v>
      </c>
      <c r="Y68" s="128">
        <v>75307</v>
      </c>
      <c r="Z68" s="128">
        <v>74406</v>
      </c>
      <c r="AA68" s="151">
        <v>72512</v>
      </c>
    </row>
    <row r="69" spans="1:27" ht="15" x14ac:dyDescent="0.2">
      <c r="A69" s="113" t="s">
        <v>482</v>
      </c>
      <c r="B69" s="114">
        <v>10963</v>
      </c>
      <c r="C69" s="113" t="s">
        <v>486</v>
      </c>
      <c r="D69" s="113" t="s">
        <v>863</v>
      </c>
      <c r="E69" s="115">
        <v>16664</v>
      </c>
      <c r="F69" s="115">
        <v>15977</v>
      </c>
      <c r="G69" s="115">
        <v>23501</v>
      </c>
      <c r="H69" s="115">
        <v>23501</v>
      </c>
      <c r="I69" s="115">
        <v>23501</v>
      </c>
      <c r="J69" s="115">
        <v>23501</v>
      </c>
      <c r="K69" s="115">
        <v>23501</v>
      </c>
      <c r="L69" s="115">
        <v>18324</v>
      </c>
      <c r="M69" s="115">
        <v>20050</v>
      </c>
      <c r="N69" s="115">
        <v>17220</v>
      </c>
      <c r="O69" s="115">
        <v>16810</v>
      </c>
      <c r="P69" s="115">
        <v>18677.128558441094</v>
      </c>
      <c r="Q69" s="116">
        <v>18680.400678775695</v>
      </c>
      <c r="R69" s="116">
        <v>18131</v>
      </c>
      <c r="S69" s="116">
        <v>17992</v>
      </c>
      <c r="T69" s="116">
        <v>18108</v>
      </c>
      <c r="U69" s="116">
        <v>19778.441745526758</v>
      </c>
      <c r="V69" s="116">
        <v>19909.965626204437</v>
      </c>
      <c r="W69" s="128">
        <v>18778.025143505314</v>
      </c>
      <c r="X69" s="128">
        <v>19000.186461470061</v>
      </c>
      <c r="Y69" s="128">
        <v>18356</v>
      </c>
      <c r="Z69" s="128">
        <v>18947</v>
      </c>
      <c r="AA69" s="151">
        <v>18290.848216085698</v>
      </c>
    </row>
    <row r="70" spans="1:27" ht="15" x14ac:dyDescent="0.2">
      <c r="A70" s="113" t="s">
        <v>482</v>
      </c>
      <c r="B70" s="114">
        <v>12443</v>
      </c>
      <c r="C70" s="113" t="s">
        <v>902</v>
      </c>
      <c r="D70" s="113" t="s">
        <v>863</v>
      </c>
      <c r="E70" s="115">
        <v>11333</v>
      </c>
      <c r="F70" s="115">
        <v>11608</v>
      </c>
      <c r="G70" s="115">
        <v>12944</v>
      </c>
      <c r="H70" s="115">
        <v>13035</v>
      </c>
      <c r="I70" s="115">
        <v>13035</v>
      </c>
      <c r="J70" s="115">
        <v>13035</v>
      </c>
      <c r="K70" s="115">
        <v>14000</v>
      </c>
      <c r="L70" s="115">
        <v>14396</v>
      </c>
      <c r="M70" s="115">
        <v>14396</v>
      </c>
      <c r="N70" s="115">
        <v>17639</v>
      </c>
      <c r="O70" s="115">
        <v>16987.300203837516</v>
      </c>
      <c r="P70" s="115">
        <v>17497.395909539111</v>
      </c>
      <c r="Q70" s="116">
        <v>17328</v>
      </c>
      <c r="R70" s="116">
        <v>17342</v>
      </c>
      <c r="S70" s="116">
        <v>17790</v>
      </c>
      <c r="T70" s="116">
        <v>17886</v>
      </c>
      <c r="U70" s="116">
        <v>17954.345426855565</v>
      </c>
      <c r="V70" s="116">
        <v>17179.773734617811</v>
      </c>
      <c r="W70" s="128">
        <v>18470.983298595718</v>
      </c>
      <c r="X70" s="128">
        <v>18849.389846981147</v>
      </c>
      <c r="Y70" s="128">
        <v>18620</v>
      </c>
      <c r="Z70" s="128">
        <v>18722</v>
      </c>
      <c r="AA70" s="151">
        <v>18128.626566932195</v>
      </c>
    </row>
    <row r="71" spans="1:27" ht="15" x14ac:dyDescent="0.2">
      <c r="A71" s="113" t="s">
        <v>482</v>
      </c>
      <c r="B71" s="114">
        <v>13343</v>
      </c>
      <c r="C71" s="113" t="s">
        <v>490</v>
      </c>
      <c r="D71" s="113" t="s">
        <v>863</v>
      </c>
      <c r="E71" s="115">
        <v>215124</v>
      </c>
      <c r="F71" s="115">
        <v>226483</v>
      </c>
      <c r="G71" s="115">
        <v>238914</v>
      </c>
      <c r="H71" s="115">
        <v>253263</v>
      </c>
      <c r="I71" s="115">
        <v>257048</v>
      </c>
      <c r="J71" s="115">
        <v>290656</v>
      </c>
      <c r="K71" s="115">
        <v>292938</v>
      </c>
      <c r="L71" s="115">
        <v>295280</v>
      </c>
      <c r="M71" s="115">
        <v>299834</v>
      </c>
      <c r="N71" s="115">
        <v>301097</v>
      </c>
      <c r="O71" s="115">
        <v>307306</v>
      </c>
      <c r="P71" s="115">
        <v>313109</v>
      </c>
      <c r="Q71" s="116">
        <v>318256.16038515279</v>
      </c>
      <c r="R71" s="116">
        <v>325356</v>
      </c>
      <c r="S71" s="116">
        <v>333354</v>
      </c>
      <c r="T71" s="116">
        <v>341928</v>
      </c>
      <c r="U71" s="116">
        <v>349523.34625363688</v>
      </c>
      <c r="V71" s="116">
        <v>358721.79193883674</v>
      </c>
      <c r="W71" s="128">
        <v>368669.83162122563</v>
      </c>
      <c r="X71" s="128">
        <v>378390</v>
      </c>
      <c r="Y71" s="120">
        <v>388253</v>
      </c>
      <c r="Z71" s="128">
        <v>408138</v>
      </c>
      <c r="AA71" s="151">
        <v>435548</v>
      </c>
    </row>
    <row r="72" spans="1:27" ht="15" x14ac:dyDescent="0.2">
      <c r="A72" s="113" t="s">
        <v>491</v>
      </c>
      <c r="B72" s="114">
        <v>1156</v>
      </c>
      <c r="C72" s="113" t="s">
        <v>493</v>
      </c>
      <c r="D72" s="113" t="s">
        <v>869</v>
      </c>
      <c r="E72" s="115">
        <v>4939</v>
      </c>
      <c r="F72" s="115">
        <v>4996</v>
      </c>
      <c r="G72" s="115">
        <v>5216</v>
      </c>
      <c r="H72" s="115">
        <v>5437</v>
      </c>
      <c r="I72" s="115">
        <v>5824</v>
      </c>
      <c r="J72" s="115">
        <v>6967</v>
      </c>
      <c r="K72" s="115">
        <v>7599</v>
      </c>
      <c r="L72" s="115">
        <v>9050</v>
      </c>
      <c r="M72" s="115">
        <v>10336</v>
      </c>
      <c r="N72" s="115">
        <v>10525</v>
      </c>
      <c r="O72" s="115">
        <v>10732</v>
      </c>
      <c r="P72" s="115">
        <v>9649.5020021801138</v>
      </c>
      <c r="Q72" s="116">
        <v>11242</v>
      </c>
      <c r="R72" s="116">
        <v>11656</v>
      </c>
      <c r="S72" s="116">
        <v>10669</v>
      </c>
      <c r="T72" s="116">
        <v>11276</v>
      </c>
      <c r="U72" s="116">
        <v>11929.169816563161</v>
      </c>
      <c r="V72" s="116">
        <v>12931.228003378861</v>
      </c>
      <c r="W72" s="128">
        <v>13884</v>
      </c>
      <c r="X72" s="128">
        <v>14909.764922296936</v>
      </c>
      <c r="Y72" s="128">
        <v>16516</v>
      </c>
      <c r="Z72" s="128">
        <v>18688</v>
      </c>
      <c r="AA72" s="151">
        <v>20584.480791078022</v>
      </c>
    </row>
    <row r="73" spans="1:27" ht="15" x14ac:dyDescent="0.2">
      <c r="A73" s="113" t="s">
        <v>491</v>
      </c>
      <c r="B73" s="114">
        <v>2999</v>
      </c>
      <c r="C73" s="113" t="s">
        <v>903</v>
      </c>
      <c r="D73" s="113" t="s">
        <v>869</v>
      </c>
      <c r="E73" s="115" t="s">
        <v>954</v>
      </c>
      <c r="F73" s="115" t="s">
        <v>954</v>
      </c>
      <c r="G73" s="115" t="s">
        <v>954</v>
      </c>
      <c r="H73" s="115" t="s">
        <v>954</v>
      </c>
      <c r="I73" s="115">
        <v>681</v>
      </c>
      <c r="J73" s="115">
        <v>681</v>
      </c>
      <c r="K73" s="115">
        <v>681</v>
      </c>
      <c r="L73" s="115">
        <v>681</v>
      </c>
      <c r="M73" s="115">
        <v>681</v>
      </c>
      <c r="N73" s="115">
        <v>917</v>
      </c>
      <c r="O73" s="115">
        <v>1090.2098457853831</v>
      </c>
      <c r="P73" s="115">
        <v>1172.9757698376093</v>
      </c>
      <c r="Q73" s="116">
        <v>1084.4921044146561</v>
      </c>
      <c r="R73" s="116">
        <v>1173</v>
      </c>
      <c r="S73" s="116">
        <v>1121</v>
      </c>
      <c r="T73" s="116">
        <v>1109</v>
      </c>
      <c r="U73" s="116">
        <v>1116.2556619166248</v>
      </c>
      <c r="V73" s="116">
        <v>1111.7180372746875</v>
      </c>
      <c r="W73" s="128">
        <v>1125.3307680564749</v>
      </c>
      <c r="X73" s="128">
        <v>1127.5995888536936</v>
      </c>
      <c r="Y73" s="128">
        <v>1134</v>
      </c>
      <c r="Z73" s="128" t="s">
        <v>868</v>
      </c>
      <c r="AA73" s="151" t="s">
        <v>868</v>
      </c>
    </row>
    <row r="74" spans="1:27" ht="15" x14ac:dyDescent="0.2">
      <c r="A74" s="113" t="s">
        <v>491</v>
      </c>
      <c r="B74" s="114">
        <v>5643</v>
      </c>
      <c r="C74" s="113" t="s">
        <v>904</v>
      </c>
      <c r="D74" s="113" t="s">
        <v>869</v>
      </c>
      <c r="E74" s="115">
        <v>1243</v>
      </c>
      <c r="F74" s="115">
        <v>1152</v>
      </c>
      <c r="G74" s="115">
        <v>1747</v>
      </c>
      <c r="H74" s="115">
        <v>1785</v>
      </c>
      <c r="I74" s="115">
        <v>1785</v>
      </c>
      <c r="J74" s="115">
        <v>1824</v>
      </c>
      <c r="K74" s="115">
        <v>1841</v>
      </c>
      <c r="L74" s="115">
        <v>1841</v>
      </c>
      <c r="M74" s="115">
        <v>1146</v>
      </c>
      <c r="N74" s="115">
        <v>1111</v>
      </c>
      <c r="O74" s="115">
        <v>1076</v>
      </c>
      <c r="P74" s="115">
        <v>1097.2598405218234</v>
      </c>
      <c r="Q74" s="116">
        <v>1099.3262432346705</v>
      </c>
      <c r="R74" s="116">
        <v>1099</v>
      </c>
      <c r="S74" s="116">
        <v>1101</v>
      </c>
      <c r="T74" s="116">
        <v>1000</v>
      </c>
      <c r="U74" s="116">
        <v>1000.0145523189676</v>
      </c>
      <c r="V74" s="116">
        <v>1000.0145523189676</v>
      </c>
      <c r="W74" s="128">
        <v>1000.0144727213734</v>
      </c>
      <c r="X74" s="128">
        <v>1000.0144819385646</v>
      </c>
      <c r="Y74" s="128">
        <v>1014</v>
      </c>
      <c r="Z74" s="128">
        <v>1014.0996948231241</v>
      </c>
      <c r="AA74" s="151">
        <v>1004.7641715562802</v>
      </c>
    </row>
    <row r="75" spans="1:27" ht="15" x14ac:dyDescent="0.2">
      <c r="A75" s="113" t="s">
        <v>491</v>
      </c>
      <c r="B75" s="114">
        <v>6151</v>
      </c>
      <c r="C75" s="113" t="s">
        <v>905</v>
      </c>
      <c r="D75" s="113" t="s">
        <v>869</v>
      </c>
      <c r="E75" s="115" t="s">
        <v>954</v>
      </c>
      <c r="F75" s="115">
        <v>16445</v>
      </c>
      <c r="G75" s="115">
        <v>17503</v>
      </c>
      <c r="H75" s="115">
        <v>17503</v>
      </c>
      <c r="I75" s="115">
        <v>17503</v>
      </c>
      <c r="J75" s="115">
        <v>10788</v>
      </c>
      <c r="K75" s="115">
        <v>30897</v>
      </c>
      <c r="L75" s="115">
        <v>27602</v>
      </c>
      <c r="M75" s="115">
        <v>27602</v>
      </c>
      <c r="N75" s="115">
        <v>30738</v>
      </c>
      <c r="O75" s="115">
        <v>35892</v>
      </c>
      <c r="P75" s="115">
        <v>31966.255301756762</v>
      </c>
      <c r="Q75" s="116">
        <v>33084.837427123995</v>
      </c>
      <c r="R75" s="116">
        <v>32325</v>
      </c>
      <c r="S75" s="116">
        <v>35032</v>
      </c>
      <c r="T75" s="116">
        <v>35618</v>
      </c>
      <c r="U75" s="116">
        <v>36180.053476635243</v>
      </c>
      <c r="V75" s="116">
        <v>37061.631924625028</v>
      </c>
      <c r="W75" s="128">
        <v>40146.500565650655</v>
      </c>
      <c r="X75" s="128">
        <v>40830.531219645047</v>
      </c>
      <c r="Y75" s="128">
        <v>43070</v>
      </c>
      <c r="Z75" s="128">
        <v>55809.085586268149</v>
      </c>
      <c r="AA75" s="151">
        <v>59592.432926643916</v>
      </c>
    </row>
    <row r="76" spans="1:27" ht="15" x14ac:dyDescent="0.2">
      <c r="A76" s="113" t="s">
        <v>491</v>
      </c>
      <c r="B76" s="114">
        <v>6792</v>
      </c>
      <c r="C76" s="113" t="s">
        <v>906</v>
      </c>
      <c r="D76" s="113" t="s">
        <v>869</v>
      </c>
      <c r="E76" s="115">
        <v>791</v>
      </c>
      <c r="F76" s="115">
        <v>810</v>
      </c>
      <c r="G76" s="115">
        <v>829</v>
      </c>
      <c r="H76" s="115">
        <v>845</v>
      </c>
      <c r="I76" s="115">
        <v>845</v>
      </c>
      <c r="J76" s="115">
        <v>845</v>
      </c>
      <c r="K76" s="115">
        <v>680</v>
      </c>
      <c r="L76" s="115">
        <v>752</v>
      </c>
      <c r="M76" s="115">
        <v>659</v>
      </c>
      <c r="N76" s="115">
        <v>737</v>
      </c>
      <c r="O76" s="115">
        <v>747</v>
      </c>
      <c r="P76" s="115">
        <v>622.33543174719671</v>
      </c>
      <c r="Q76" s="116">
        <v>598</v>
      </c>
      <c r="R76" s="116">
        <v>606</v>
      </c>
      <c r="S76" s="116">
        <v>598</v>
      </c>
      <c r="T76" s="116">
        <v>598</v>
      </c>
      <c r="U76" s="116">
        <v>598</v>
      </c>
      <c r="V76" s="116">
        <v>597.851294726481</v>
      </c>
      <c r="W76" s="128" t="s">
        <v>868</v>
      </c>
      <c r="X76" s="128" t="s">
        <v>868</v>
      </c>
      <c r="Y76" s="128" t="s">
        <v>868</v>
      </c>
      <c r="Z76" s="128" t="s">
        <v>868</v>
      </c>
      <c r="AA76" s="151" t="s">
        <v>868</v>
      </c>
    </row>
    <row r="77" spans="1:27" ht="15" x14ac:dyDescent="0.2">
      <c r="A77" s="113" t="s">
        <v>491</v>
      </c>
      <c r="B77" s="114">
        <v>7849</v>
      </c>
      <c r="C77" s="113" t="s">
        <v>903</v>
      </c>
      <c r="D77" s="113" t="s">
        <v>869</v>
      </c>
      <c r="E77" s="115" t="s">
        <v>954</v>
      </c>
      <c r="F77" s="115" t="s">
        <v>954</v>
      </c>
      <c r="G77" s="115" t="s">
        <v>954</v>
      </c>
      <c r="H77" s="115" t="s">
        <v>954</v>
      </c>
      <c r="I77" s="115">
        <v>807</v>
      </c>
      <c r="J77" s="115">
        <v>807</v>
      </c>
      <c r="K77" s="115">
        <v>807</v>
      </c>
      <c r="L77" s="115">
        <v>807</v>
      </c>
      <c r="M77" s="115">
        <v>807</v>
      </c>
      <c r="N77" s="115">
        <v>921</v>
      </c>
      <c r="O77" s="115">
        <v>1282.2496093353377</v>
      </c>
      <c r="P77" s="115">
        <v>1061.675247615133</v>
      </c>
      <c r="Q77" s="116">
        <v>1082.0485466098796</v>
      </c>
      <c r="R77" s="116">
        <v>1123</v>
      </c>
      <c r="S77" s="116">
        <v>1071</v>
      </c>
      <c r="T77" s="116">
        <v>1078</v>
      </c>
      <c r="U77" s="116">
        <v>1086.575840832</v>
      </c>
      <c r="V77" s="116">
        <v>1086.575840832</v>
      </c>
      <c r="W77" s="128">
        <v>1075.2574979647936</v>
      </c>
      <c r="X77" s="128">
        <v>1086.5760031509164</v>
      </c>
      <c r="Y77" s="128">
        <v>1148</v>
      </c>
      <c r="Z77" s="128" t="s">
        <v>868</v>
      </c>
      <c r="AA77" s="151" t="s">
        <v>868</v>
      </c>
    </row>
    <row r="78" spans="1:27" ht="15" x14ac:dyDescent="0.2">
      <c r="A78" s="113" t="s">
        <v>491</v>
      </c>
      <c r="B78" s="114">
        <v>8005</v>
      </c>
      <c r="C78" s="113" t="s">
        <v>907</v>
      </c>
      <c r="D78" s="113" t="s">
        <v>869</v>
      </c>
      <c r="E78" s="115" t="s">
        <v>954</v>
      </c>
      <c r="F78" s="115" t="s">
        <v>954</v>
      </c>
      <c r="G78" s="115" t="s">
        <v>954</v>
      </c>
      <c r="H78" s="115">
        <v>600</v>
      </c>
      <c r="I78" s="115">
        <v>650</v>
      </c>
      <c r="J78" s="115">
        <v>650</v>
      </c>
      <c r="K78" s="115">
        <v>513</v>
      </c>
      <c r="L78" s="115">
        <v>586</v>
      </c>
      <c r="M78" s="115">
        <v>586</v>
      </c>
      <c r="N78" s="115">
        <v>449</v>
      </c>
      <c r="O78" s="115">
        <v>498.51132062023504</v>
      </c>
      <c r="P78" s="115">
        <v>499.98178408520567</v>
      </c>
      <c r="Q78" s="116">
        <v>488.69493575187232</v>
      </c>
      <c r="R78" s="116">
        <v>469</v>
      </c>
      <c r="S78" s="116">
        <v>489</v>
      </c>
      <c r="T78" s="116">
        <v>475</v>
      </c>
      <c r="U78" s="116">
        <v>469</v>
      </c>
      <c r="V78" s="116">
        <v>557</v>
      </c>
      <c r="W78" s="128" t="s">
        <v>868</v>
      </c>
      <c r="X78" s="128" t="s">
        <v>868</v>
      </c>
      <c r="Y78" s="128" t="s">
        <v>868</v>
      </c>
      <c r="Z78" s="128" t="s">
        <v>868</v>
      </c>
      <c r="AA78" s="151" t="s">
        <v>868</v>
      </c>
    </row>
    <row r="79" spans="1:27" ht="15" x14ac:dyDescent="0.2">
      <c r="A79" s="113" t="s">
        <v>491</v>
      </c>
      <c r="B79" s="114">
        <v>8020</v>
      </c>
      <c r="C79" s="113" t="s">
        <v>908</v>
      </c>
      <c r="D79" s="113" t="s">
        <v>869</v>
      </c>
      <c r="E79" s="115">
        <v>1069</v>
      </c>
      <c r="F79" s="115">
        <v>1095</v>
      </c>
      <c r="G79" s="115">
        <v>1122</v>
      </c>
      <c r="H79" s="115">
        <v>1144</v>
      </c>
      <c r="I79" s="115">
        <v>1144</v>
      </c>
      <c r="J79" s="115">
        <v>1198</v>
      </c>
      <c r="K79" s="115">
        <v>1196</v>
      </c>
      <c r="L79" s="115">
        <v>1196</v>
      </c>
      <c r="M79" s="115">
        <v>1196</v>
      </c>
      <c r="N79" s="115">
        <v>1169</v>
      </c>
      <c r="O79" s="115">
        <v>1178</v>
      </c>
      <c r="P79" s="115">
        <v>1127.0027600000001</v>
      </c>
      <c r="Q79" s="116">
        <v>1127</v>
      </c>
      <c r="R79" s="116">
        <v>1127</v>
      </c>
      <c r="S79" s="116">
        <v>1127</v>
      </c>
      <c r="T79" s="116">
        <v>1127</v>
      </c>
      <c r="U79" s="116">
        <v>1127.0027600000001</v>
      </c>
      <c r="V79" s="116">
        <v>1127.0027600000001</v>
      </c>
      <c r="W79" s="128">
        <v>1127.0027600000001</v>
      </c>
      <c r="X79" s="128">
        <v>1127.002730846405</v>
      </c>
      <c r="Y79" s="128">
        <v>1127</v>
      </c>
      <c r="Z79" s="128">
        <v>1127</v>
      </c>
      <c r="AA79" s="151">
        <v>1143.4460719041278</v>
      </c>
    </row>
    <row r="80" spans="1:27" ht="15" x14ac:dyDescent="0.2">
      <c r="A80" s="113" t="s">
        <v>491</v>
      </c>
      <c r="B80" s="114">
        <v>8339</v>
      </c>
      <c r="C80" s="113" t="s">
        <v>512</v>
      </c>
      <c r="D80" s="113" t="s">
        <v>869</v>
      </c>
      <c r="E80" s="115">
        <v>2066</v>
      </c>
      <c r="F80" s="115">
        <v>2115</v>
      </c>
      <c r="G80" s="115">
        <v>6284</v>
      </c>
      <c r="H80" s="115">
        <v>6375</v>
      </c>
      <c r="I80" s="115">
        <v>5544</v>
      </c>
      <c r="J80" s="115">
        <v>5696</v>
      </c>
      <c r="K80" s="115">
        <v>5815</v>
      </c>
      <c r="L80" s="115">
        <v>5078</v>
      </c>
      <c r="M80" s="115">
        <v>5049</v>
      </c>
      <c r="N80" s="115">
        <v>9169</v>
      </c>
      <c r="O80" s="115">
        <v>7667</v>
      </c>
      <c r="P80" s="115">
        <v>6194.9380744715254</v>
      </c>
      <c r="Q80" s="116">
        <v>6251.3656246322525</v>
      </c>
      <c r="R80" s="116">
        <v>6290</v>
      </c>
      <c r="S80" s="116">
        <v>6652</v>
      </c>
      <c r="T80" s="116">
        <v>6458</v>
      </c>
      <c r="U80" s="116">
        <v>6212.8799970375467</v>
      </c>
      <c r="V80" s="116">
        <v>6253.6328270615504</v>
      </c>
      <c r="W80" s="128">
        <v>6354.766861420806</v>
      </c>
      <c r="X80" s="128">
        <v>6083.2020044806941</v>
      </c>
      <c r="Y80" s="128">
        <v>6704</v>
      </c>
      <c r="Z80" s="128">
        <v>6470</v>
      </c>
      <c r="AA80" s="151">
        <v>5943.6472265343855</v>
      </c>
    </row>
    <row r="81" spans="1:27" ht="15" x14ac:dyDescent="0.2">
      <c r="A81" s="113" t="s">
        <v>491</v>
      </c>
      <c r="B81" s="114">
        <v>8481</v>
      </c>
      <c r="C81" s="113" t="s">
        <v>909</v>
      </c>
      <c r="D81" s="113" t="s">
        <v>869</v>
      </c>
      <c r="E81" s="115" t="s">
        <v>954</v>
      </c>
      <c r="F81" s="115" t="s">
        <v>954</v>
      </c>
      <c r="G81" s="115" t="s">
        <v>954</v>
      </c>
      <c r="H81" s="115" t="s">
        <v>954</v>
      </c>
      <c r="I81" s="115">
        <v>3000</v>
      </c>
      <c r="J81" s="115">
        <v>3000</v>
      </c>
      <c r="K81" s="115">
        <v>3000</v>
      </c>
      <c r="L81" s="115">
        <v>3000</v>
      </c>
      <c r="M81" s="115">
        <v>3000</v>
      </c>
      <c r="N81" s="115">
        <v>5564</v>
      </c>
      <c r="O81" s="115">
        <v>5369.0832809972107</v>
      </c>
      <c r="P81" s="115">
        <v>4472.7392799999998</v>
      </c>
      <c r="Q81" s="116">
        <v>6618.2203999999992</v>
      </c>
      <c r="R81" s="116">
        <v>5776</v>
      </c>
      <c r="S81" s="116">
        <v>5761</v>
      </c>
      <c r="T81" s="116">
        <v>5891</v>
      </c>
      <c r="U81" s="116">
        <v>6147.1362399999998</v>
      </c>
      <c r="V81" s="116">
        <v>6303.31088</v>
      </c>
      <c r="W81" s="128">
        <v>6600.2987199999998</v>
      </c>
      <c r="X81" s="128">
        <v>7076.5034437179565</v>
      </c>
      <c r="Y81" s="128">
        <v>7455</v>
      </c>
      <c r="Z81" s="128" t="s">
        <v>868</v>
      </c>
      <c r="AA81" s="151" t="s">
        <v>868</v>
      </c>
    </row>
    <row r="82" spans="1:27" ht="15" x14ac:dyDescent="0.2">
      <c r="A82" s="113" t="s">
        <v>491</v>
      </c>
      <c r="B82" s="114">
        <v>9360</v>
      </c>
      <c r="C82" s="113" t="s">
        <v>910</v>
      </c>
      <c r="D82" s="113" t="s">
        <v>869</v>
      </c>
      <c r="E82" s="115">
        <v>592</v>
      </c>
      <c r="F82" s="115">
        <v>609</v>
      </c>
      <c r="G82" s="115">
        <v>626</v>
      </c>
      <c r="H82" s="115">
        <v>638</v>
      </c>
      <c r="I82" s="115">
        <v>1440</v>
      </c>
      <c r="J82" s="115">
        <v>2440</v>
      </c>
      <c r="K82" s="115">
        <v>2440</v>
      </c>
      <c r="L82" s="115">
        <v>2440</v>
      </c>
      <c r="M82" s="115">
        <v>2440</v>
      </c>
      <c r="N82" s="115">
        <v>2328</v>
      </c>
      <c r="O82" s="115">
        <v>2109.523251532356</v>
      </c>
      <c r="P82" s="115">
        <v>2143.2177099999999</v>
      </c>
      <c r="Q82" s="116">
        <v>2143.2177099999999</v>
      </c>
      <c r="R82" s="116">
        <v>2143</v>
      </c>
      <c r="S82" s="116"/>
      <c r="T82" s="116" t="s">
        <v>868</v>
      </c>
      <c r="U82" s="116" t="s">
        <v>868</v>
      </c>
      <c r="V82" s="116" t="s">
        <v>868</v>
      </c>
      <c r="W82" s="128" t="s">
        <v>868</v>
      </c>
      <c r="X82" s="128" t="s">
        <v>868</v>
      </c>
      <c r="Y82" s="128" t="s">
        <v>868</v>
      </c>
      <c r="Z82" s="128" t="s">
        <v>868</v>
      </c>
      <c r="AA82" s="151" t="s">
        <v>868</v>
      </c>
    </row>
    <row r="83" spans="1:27" ht="15" x14ac:dyDescent="0.2">
      <c r="A83" s="113" t="s">
        <v>521</v>
      </c>
      <c r="B83" s="114">
        <v>279</v>
      </c>
      <c r="C83" s="113" t="s">
        <v>523</v>
      </c>
      <c r="D83" s="113" t="s">
        <v>889</v>
      </c>
      <c r="E83" s="115" t="s">
        <v>954</v>
      </c>
      <c r="F83" s="115" t="s">
        <v>954</v>
      </c>
      <c r="G83" s="115">
        <v>3126</v>
      </c>
      <c r="H83" s="115">
        <v>3300</v>
      </c>
      <c r="I83" s="115">
        <v>3311</v>
      </c>
      <c r="J83" s="115">
        <v>3311</v>
      </c>
      <c r="K83" s="115">
        <v>3311</v>
      </c>
      <c r="L83" s="115">
        <v>3370</v>
      </c>
      <c r="M83" s="115">
        <v>3370</v>
      </c>
      <c r="N83" s="115">
        <v>2893</v>
      </c>
      <c r="O83" s="115">
        <v>3311</v>
      </c>
      <c r="P83" s="115">
        <v>3540.3069286601344</v>
      </c>
      <c r="Q83" s="116">
        <v>3480</v>
      </c>
      <c r="R83" s="116">
        <v>3335</v>
      </c>
      <c r="S83" s="116">
        <v>3552</v>
      </c>
      <c r="T83" s="116">
        <v>3522</v>
      </c>
      <c r="U83" s="116">
        <v>3551.8465264275901</v>
      </c>
      <c r="V83" s="116">
        <v>3553.4525405275899</v>
      </c>
      <c r="W83" s="128">
        <v>3553.4180214251037</v>
      </c>
      <c r="X83" s="128">
        <v>3703.409982915121</v>
      </c>
      <c r="Y83" s="128">
        <v>4105</v>
      </c>
      <c r="Z83" s="128">
        <v>3801</v>
      </c>
      <c r="AA83" s="151">
        <v>3940.736361741735</v>
      </c>
    </row>
    <row r="84" spans="1:27" ht="15" x14ac:dyDescent="0.2">
      <c r="A84" s="113" t="s">
        <v>521</v>
      </c>
      <c r="B84" s="114">
        <v>540</v>
      </c>
      <c r="C84" s="113" t="s">
        <v>525</v>
      </c>
      <c r="D84" s="113" t="s">
        <v>889</v>
      </c>
      <c r="E84" s="115">
        <v>896</v>
      </c>
      <c r="F84" s="115">
        <v>896</v>
      </c>
      <c r="G84" s="115">
        <v>896</v>
      </c>
      <c r="H84" s="115">
        <v>908</v>
      </c>
      <c r="I84" s="115">
        <v>944</v>
      </c>
      <c r="J84" s="115">
        <v>944</v>
      </c>
      <c r="K84" s="115">
        <v>944</v>
      </c>
      <c r="L84" s="115">
        <v>944</v>
      </c>
      <c r="M84" s="115">
        <v>944</v>
      </c>
      <c r="N84" s="115">
        <v>830</v>
      </c>
      <c r="O84" s="115">
        <v>990.85315327874684</v>
      </c>
      <c r="P84" s="115">
        <v>1008.0577112950405</v>
      </c>
      <c r="Q84" s="116">
        <v>1008.0577112950405</v>
      </c>
      <c r="R84" s="116">
        <v>1008</v>
      </c>
      <c r="S84" s="116"/>
      <c r="T84" s="116" t="s">
        <v>868</v>
      </c>
      <c r="U84" s="116" t="s">
        <v>868</v>
      </c>
      <c r="V84" s="116" t="s">
        <v>868</v>
      </c>
      <c r="W84" s="128" t="s">
        <v>868</v>
      </c>
      <c r="X84" s="128" t="s">
        <v>868</v>
      </c>
      <c r="Y84" s="128" t="s">
        <v>868</v>
      </c>
      <c r="Z84" s="128" t="s">
        <v>868</v>
      </c>
      <c r="AA84" s="151" t="s">
        <v>868</v>
      </c>
    </row>
    <row r="85" spans="1:27" ht="15" x14ac:dyDescent="0.2">
      <c r="A85" s="113" t="s">
        <v>521</v>
      </c>
      <c r="B85" s="114">
        <v>543</v>
      </c>
      <c r="C85" s="113" t="s">
        <v>527</v>
      </c>
      <c r="D85" s="113" t="s">
        <v>889</v>
      </c>
      <c r="E85" s="115">
        <v>1226</v>
      </c>
      <c r="F85" s="115">
        <v>1226</v>
      </c>
      <c r="G85" s="115">
        <v>1226</v>
      </c>
      <c r="H85" s="115">
        <v>1226</v>
      </c>
      <c r="I85" s="115">
        <v>1226</v>
      </c>
      <c r="J85" s="115">
        <v>1230</v>
      </c>
      <c r="K85" s="115">
        <v>1230</v>
      </c>
      <c r="L85" s="115">
        <v>1205</v>
      </c>
      <c r="M85" s="115">
        <v>1205</v>
      </c>
      <c r="N85" s="115">
        <v>1133</v>
      </c>
      <c r="O85" s="115">
        <v>1325.4400381999121</v>
      </c>
      <c r="P85" s="115">
        <v>1344.7981710793874</v>
      </c>
      <c r="Q85" s="116">
        <v>1344.7981710793874</v>
      </c>
      <c r="R85" s="116">
        <v>1347</v>
      </c>
      <c r="S85" s="116"/>
      <c r="T85" s="116" t="s">
        <v>868</v>
      </c>
      <c r="U85" s="116" t="s">
        <v>868</v>
      </c>
      <c r="V85" s="116" t="s">
        <v>868</v>
      </c>
      <c r="W85" s="128" t="s">
        <v>868</v>
      </c>
      <c r="X85" s="128" t="s">
        <v>868</v>
      </c>
      <c r="Y85" s="128" t="s">
        <v>868</v>
      </c>
      <c r="Z85" s="128" t="s">
        <v>868</v>
      </c>
      <c r="AA85" s="151" t="s">
        <v>868</v>
      </c>
    </row>
    <row r="86" spans="1:27" ht="15" x14ac:dyDescent="0.2">
      <c r="A86" s="113" t="s">
        <v>521</v>
      </c>
      <c r="B86" s="114">
        <v>590</v>
      </c>
      <c r="C86" s="113" t="s">
        <v>523</v>
      </c>
      <c r="D86" s="113" t="s">
        <v>889</v>
      </c>
      <c r="E86" s="115">
        <v>4566</v>
      </c>
      <c r="F86" s="115">
        <v>4566</v>
      </c>
      <c r="G86" s="115">
        <v>4566</v>
      </c>
      <c r="H86" s="115">
        <v>4973</v>
      </c>
      <c r="I86" s="115">
        <v>4973</v>
      </c>
      <c r="J86" s="115">
        <v>4973</v>
      </c>
      <c r="K86" s="115">
        <v>4973</v>
      </c>
      <c r="L86" s="115">
        <v>7633</v>
      </c>
      <c r="M86" s="115">
        <v>4973</v>
      </c>
      <c r="N86" s="115">
        <v>7416</v>
      </c>
      <c r="O86" s="115">
        <v>7364.1086649609733</v>
      </c>
      <c r="P86" s="115">
        <v>8336</v>
      </c>
      <c r="Q86" s="116">
        <v>7395</v>
      </c>
      <c r="R86" s="116">
        <v>7593</v>
      </c>
      <c r="S86" s="116">
        <v>8115</v>
      </c>
      <c r="T86" s="116">
        <v>8337</v>
      </c>
      <c r="U86" s="116">
        <v>8092.0149071083752</v>
      </c>
      <c r="V86" s="116">
        <v>8609.1439980093328</v>
      </c>
      <c r="W86" s="128">
        <v>9060.3111722466529</v>
      </c>
      <c r="X86" s="128">
        <v>8366.4084289958373</v>
      </c>
      <c r="Y86" s="128">
        <v>8385</v>
      </c>
      <c r="Z86" s="128">
        <v>8745</v>
      </c>
      <c r="AA86" s="151">
        <v>8014.393852171027</v>
      </c>
    </row>
    <row r="87" spans="1:27" ht="15" x14ac:dyDescent="0.2">
      <c r="A87" s="113" t="s">
        <v>521</v>
      </c>
      <c r="B87" s="114">
        <v>964</v>
      </c>
      <c r="C87" s="113" t="s">
        <v>911</v>
      </c>
      <c r="D87" s="113" t="s">
        <v>889</v>
      </c>
      <c r="E87" s="115" t="s">
        <v>954</v>
      </c>
      <c r="F87" s="115" t="s">
        <v>954</v>
      </c>
      <c r="G87" s="115" t="s">
        <v>954</v>
      </c>
      <c r="H87" s="115" t="s">
        <v>954</v>
      </c>
      <c r="I87" s="115" t="s">
        <v>954</v>
      </c>
      <c r="J87" s="115">
        <v>848</v>
      </c>
      <c r="K87" s="115">
        <v>848</v>
      </c>
      <c r="L87" s="115">
        <v>848</v>
      </c>
      <c r="M87" s="115">
        <v>848</v>
      </c>
      <c r="N87" s="115">
        <v>899</v>
      </c>
      <c r="O87" s="115">
        <v>869.28598054618737</v>
      </c>
      <c r="P87" s="115">
        <v>903.70186408979623</v>
      </c>
      <c r="Q87" s="116">
        <v>1029.1514801845237</v>
      </c>
      <c r="R87" s="116">
        <v>899</v>
      </c>
      <c r="S87" s="116">
        <v>913</v>
      </c>
      <c r="T87" s="116">
        <v>939</v>
      </c>
      <c r="U87" s="116">
        <v>933.90269759408238</v>
      </c>
      <c r="V87" s="116">
        <v>938.54897967166494</v>
      </c>
      <c r="W87" s="128">
        <v>938.54897967166494</v>
      </c>
      <c r="X87" s="128" t="s">
        <v>868</v>
      </c>
      <c r="Y87" s="128" t="s">
        <v>868</v>
      </c>
      <c r="Z87" s="128" t="s">
        <v>868</v>
      </c>
      <c r="AA87" s="151" t="s">
        <v>868</v>
      </c>
    </row>
    <row r="88" spans="1:27" ht="15" x14ac:dyDescent="0.2">
      <c r="A88" s="113" t="s">
        <v>521</v>
      </c>
      <c r="B88" s="114">
        <v>1631</v>
      </c>
      <c r="C88" s="113" t="s">
        <v>534</v>
      </c>
      <c r="D88" s="113" t="s">
        <v>889</v>
      </c>
      <c r="E88" s="115">
        <v>12315</v>
      </c>
      <c r="F88" s="115">
        <v>12603</v>
      </c>
      <c r="G88" s="115">
        <v>12603</v>
      </c>
      <c r="H88" s="115">
        <v>12603</v>
      </c>
      <c r="I88" s="115">
        <v>12090</v>
      </c>
      <c r="J88" s="115">
        <v>12338</v>
      </c>
      <c r="K88" s="115">
        <v>12068</v>
      </c>
      <c r="L88" s="115">
        <v>12342</v>
      </c>
      <c r="M88" s="115">
        <v>11779</v>
      </c>
      <c r="N88" s="115">
        <v>10653</v>
      </c>
      <c r="O88" s="115">
        <v>11164</v>
      </c>
      <c r="P88" s="115">
        <v>11913.469663075537</v>
      </c>
      <c r="Q88" s="116">
        <v>11849.498104303542</v>
      </c>
      <c r="R88" s="116">
        <v>11858</v>
      </c>
      <c r="S88" s="116">
        <v>11917</v>
      </c>
      <c r="T88" s="116">
        <v>12304</v>
      </c>
      <c r="U88" s="116">
        <v>12428.634343885849</v>
      </c>
      <c r="V88" s="116">
        <v>12530.428126434146</v>
      </c>
      <c r="W88" s="128">
        <v>12610.793489104593</v>
      </c>
      <c r="X88" s="128">
        <v>12814.365153465529</v>
      </c>
      <c r="Y88" s="128">
        <v>13231</v>
      </c>
      <c r="Z88" s="128">
        <v>13113</v>
      </c>
      <c r="AA88" s="151">
        <v>15621.37952968932</v>
      </c>
    </row>
    <row r="89" spans="1:27" ht="15" x14ac:dyDescent="0.2">
      <c r="A89" s="113" t="s">
        <v>521</v>
      </c>
      <c r="B89" s="114">
        <v>2043</v>
      </c>
      <c r="C89" s="113" t="s">
        <v>912</v>
      </c>
      <c r="D89" s="113" t="s">
        <v>889</v>
      </c>
      <c r="E89" s="115">
        <v>1065</v>
      </c>
      <c r="F89" s="115">
        <v>1047</v>
      </c>
      <c r="G89" s="115">
        <v>1047</v>
      </c>
      <c r="H89" s="115">
        <v>1047</v>
      </c>
      <c r="I89" s="115">
        <v>1047</v>
      </c>
      <c r="J89" s="115">
        <v>1047</v>
      </c>
      <c r="K89" s="115">
        <v>1047</v>
      </c>
      <c r="L89" s="115">
        <v>991</v>
      </c>
      <c r="M89" s="115">
        <v>991</v>
      </c>
      <c r="N89" s="115">
        <v>987</v>
      </c>
      <c r="O89" s="115">
        <v>1040.0887231352012</v>
      </c>
      <c r="P89" s="115">
        <v>1037.1279876894075</v>
      </c>
      <c r="Q89" s="116">
        <v>1032.9638871179789</v>
      </c>
      <c r="R89" s="116">
        <v>1033</v>
      </c>
      <c r="S89" s="116">
        <v>1040</v>
      </c>
      <c r="T89" s="116">
        <v>1040</v>
      </c>
      <c r="U89" s="116" t="s">
        <v>868</v>
      </c>
      <c r="V89" s="116">
        <v>1040</v>
      </c>
      <c r="W89" s="128" t="s">
        <v>868</v>
      </c>
      <c r="X89" s="128" t="s">
        <v>868</v>
      </c>
      <c r="Y89" s="128" t="s">
        <v>868</v>
      </c>
      <c r="Z89" s="128" t="s">
        <v>868</v>
      </c>
      <c r="AA89" s="151" t="s">
        <v>868</v>
      </c>
    </row>
    <row r="90" spans="1:27" ht="15" x14ac:dyDescent="0.2">
      <c r="A90" s="113" t="s">
        <v>521</v>
      </c>
      <c r="B90" s="114">
        <v>2978</v>
      </c>
      <c r="C90" s="113" t="s">
        <v>523</v>
      </c>
      <c r="D90" s="113" t="s">
        <v>889</v>
      </c>
      <c r="E90" s="115">
        <v>9397</v>
      </c>
      <c r="F90" s="115">
        <v>9529</v>
      </c>
      <c r="G90" s="115">
        <v>10558</v>
      </c>
      <c r="H90" s="115">
        <v>9152</v>
      </c>
      <c r="I90" s="115">
        <v>9279</v>
      </c>
      <c r="J90" s="115">
        <v>9644</v>
      </c>
      <c r="K90" s="115">
        <v>9805</v>
      </c>
      <c r="L90" s="115">
        <v>9805</v>
      </c>
      <c r="M90" s="115">
        <v>9446</v>
      </c>
      <c r="N90" s="115">
        <v>5706</v>
      </c>
      <c r="O90" s="115">
        <v>5711.3041670269631</v>
      </c>
      <c r="P90" s="115">
        <v>5751.5700331486487</v>
      </c>
      <c r="Q90" s="116">
        <v>5500.3961693860092</v>
      </c>
      <c r="R90" s="116">
        <v>5839</v>
      </c>
      <c r="S90" s="116">
        <v>5839</v>
      </c>
      <c r="T90" s="116">
        <v>5315</v>
      </c>
      <c r="U90" s="116">
        <v>5333.5323411408153</v>
      </c>
      <c r="V90" s="116">
        <v>5342.2392004408157</v>
      </c>
      <c r="W90" s="128">
        <v>5410</v>
      </c>
      <c r="X90" s="128">
        <v>5444.3420528156184</v>
      </c>
      <c r="Y90" s="128">
        <v>5489</v>
      </c>
      <c r="Z90" s="128">
        <v>7484</v>
      </c>
      <c r="AA90" s="151">
        <v>7573.1221676059804</v>
      </c>
    </row>
    <row r="91" spans="1:27" ht="15" x14ac:dyDescent="0.2">
      <c r="A91" s="113" t="s">
        <v>521</v>
      </c>
      <c r="B91" s="114">
        <v>3182</v>
      </c>
      <c r="C91" s="113" t="s">
        <v>523</v>
      </c>
      <c r="D91" s="113" t="s">
        <v>889</v>
      </c>
      <c r="E91" s="115">
        <v>23700</v>
      </c>
      <c r="F91" s="115">
        <v>24231</v>
      </c>
      <c r="G91" s="115">
        <v>28035</v>
      </c>
      <c r="H91" s="115">
        <v>29618</v>
      </c>
      <c r="I91" s="115">
        <v>31866</v>
      </c>
      <c r="J91" s="115">
        <v>32435</v>
      </c>
      <c r="K91" s="115">
        <v>33176</v>
      </c>
      <c r="L91" s="115">
        <v>32834</v>
      </c>
      <c r="M91" s="115">
        <v>28589</v>
      </c>
      <c r="N91" s="115">
        <v>26197</v>
      </c>
      <c r="O91" s="115">
        <v>29198</v>
      </c>
      <c r="P91" s="115">
        <v>30040.415442122168</v>
      </c>
      <c r="Q91" s="116">
        <v>31714</v>
      </c>
      <c r="R91" s="116">
        <v>30722</v>
      </c>
      <c r="S91" s="116">
        <v>31020</v>
      </c>
      <c r="T91" s="116">
        <v>31000</v>
      </c>
      <c r="U91" s="116">
        <v>30934.684045495029</v>
      </c>
      <c r="V91" s="116">
        <v>30569.74166800073</v>
      </c>
      <c r="W91" s="128">
        <v>30872.056272525202</v>
      </c>
      <c r="X91" s="128">
        <v>31042.096868534616</v>
      </c>
      <c r="Y91" s="128">
        <v>31872</v>
      </c>
      <c r="Z91" s="128">
        <v>32343</v>
      </c>
      <c r="AA91" s="151">
        <v>32906.581850721101</v>
      </c>
    </row>
    <row r="92" spans="1:27" ht="15" x14ac:dyDescent="0.2">
      <c r="A92" s="113" t="s">
        <v>521</v>
      </c>
      <c r="B92" s="114">
        <v>3590</v>
      </c>
      <c r="C92" s="113" t="s">
        <v>904</v>
      </c>
      <c r="D92" s="113" t="s">
        <v>889</v>
      </c>
      <c r="E92" s="115">
        <v>1285</v>
      </c>
      <c r="F92" s="115">
        <v>2496</v>
      </c>
      <c r="G92" s="115">
        <v>2770</v>
      </c>
      <c r="H92" s="115">
        <v>2763</v>
      </c>
      <c r="I92" s="115">
        <v>2763</v>
      </c>
      <c r="J92" s="115">
        <v>3102</v>
      </c>
      <c r="K92" s="115">
        <v>3102</v>
      </c>
      <c r="L92" s="115">
        <v>3102</v>
      </c>
      <c r="M92" s="115">
        <v>3220</v>
      </c>
      <c r="N92" s="115">
        <v>3212</v>
      </c>
      <c r="O92" s="115">
        <v>3235.7283699999998</v>
      </c>
      <c r="P92" s="115">
        <v>2205.1948345405017</v>
      </c>
      <c r="Q92" s="116">
        <v>3747.814999901093</v>
      </c>
      <c r="R92" s="116">
        <v>3640</v>
      </c>
      <c r="S92" s="116">
        <v>3744</v>
      </c>
      <c r="T92" s="116">
        <v>3754</v>
      </c>
      <c r="U92" s="116">
        <v>3758</v>
      </c>
      <c r="V92" s="116">
        <v>3772.2046840311195</v>
      </c>
      <c r="W92" s="128">
        <v>3757.9772272489322</v>
      </c>
      <c r="X92" s="128">
        <v>3760.0095975658978</v>
      </c>
      <c r="Y92" s="128">
        <v>3646</v>
      </c>
      <c r="Z92" s="128">
        <v>3717</v>
      </c>
      <c r="AA92" s="151">
        <v>3953.1241914220691</v>
      </c>
    </row>
    <row r="93" spans="1:27" ht="15" x14ac:dyDescent="0.2">
      <c r="A93" s="113" t="s">
        <v>521</v>
      </c>
      <c r="B93" s="114">
        <v>3668</v>
      </c>
      <c r="C93" s="113" t="s">
        <v>904</v>
      </c>
      <c r="D93" s="113" t="s">
        <v>889</v>
      </c>
      <c r="E93" s="115">
        <v>1200</v>
      </c>
      <c r="F93" s="115">
        <v>1796</v>
      </c>
      <c r="G93" s="115">
        <v>2484</v>
      </c>
      <c r="H93" s="115">
        <v>2400</v>
      </c>
      <c r="I93" s="115">
        <v>2313</v>
      </c>
      <c r="J93" s="115">
        <v>2848</v>
      </c>
      <c r="K93" s="115">
        <v>2848</v>
      </c>
      <c r="L93" s="115">
        <v>2848</v>
      </c>
      <c r="M93" s="115">
        <v>2571</v>
      </c>
      <c r="N93" s="115">
        <v>2175</v>
      </c>
      <c r="O93" s="115">
        <v>3148</v>
      </c>
      <c r="P93" s="115">
        <v>2500.6317148131443</v>
      </c>
      <c r="Q93" s="116">
        <v>2487.9058536690568</v>
      </c>
      <c r="R93" s="116">
        <v>2530</v>
      </c>
      <c r="S93" s="116">
        <v>2554</v>
      </c>
      <c r="T93" s="116">
        <v>2554</v>
      </c>
      <c r="U93" s="116" t="s">
        <v>868</v>
      </c>
      <c r="V93" s="116" t="s">
        <v>868</v>
      </c>
      <c r="W93" s="128" t="s">
        <v>868</v>
      </c>
      <c r="X93" s="128" t="s">
        <v>868</v>
      </c>
      <c r="Y93" s="128" t="s">
        <v>868</v>
      </c>
      <c r="Z93" s="128" t="s">
        <v>868</v>
      </c>
      <c r="AA93" s="151" t="s">
        <v>868</v>
      </c>
    </row>
    <row r="94" spans="1:27" ht="15" x14ac:dyDescent="0.2">
      <c r="A94" s="113" t="s">
        <v>521</v>
      </c>
      <c r="B94" s="114">
        <v>3677</v>
      </c>
      <c r="C94" s="113" t="s">
        <v>523</v>
      </c>
      <c r="D94" s="113" t="s">
        <v>889</v>
      </c>
      <c r="E94" s="115" t="s">
        <v>954</v>
      </c>
      <c r="F94" s="115" t="s">
        <v>955</v>
      </c>
      <c r="G94" s="115">
        <v>2097</v>
      </c>
      <c r="H94" s="115">
        <v>2097</v>
      </c>
      <c r="I94" s="115">
        <v>2097</v>
      </c>
      <c r="J94" s="115">
        <v>2097</v>
      </c>
      <c r="K94" s="115">
        <v>2097</v>
      </c>
      <c r="L94" s="115">
        <v>1458</v>
      </c>
      <c r="M94" s="115">
        <v>1536</v>
      </c>
      <c r="N94" s="115">
        <v>1271</v>
      </c>
      <c r="O94" s="115">
        <v>1592.8790749640164</v>
      </c>
      <c r="P94" s="115">
        <v>1574.320850753887</v>
      </c>
      <c r="Q94" s="116">
        <v>1591.2053210473318</v>
      </c>
      <c r="R94" s="116">
        <v>1584</v>
      </c>
      <c r="S94" s="116">
        <v>1612</v>
      </c>
      <c r="T94" s="116">
        <v>1612</v>
      </c>
      <c r="U94" s="116">
        <v>1611.5185804649575</v>
      </c>
      <c r="V94" s="116">
        <v>1611.5185804649575</v>
      </c>
      <c r="W94" s="128" t="s">
        <v>868</v>
      </c>
      <c r="X94" s="128" t="s">
        <v>868</v>
      </c>
      <c r="Y94" s="128" t="s">
        <v>868</v>
      </c>
      <c r="Z94" s="128" t="s">
        <v>868</v>
      </c>
      <c r="AA94" s="151" t="s">
        <v>868</v>
      </c>
    </row>
    <row r="95" spans="1:27" ht="15" x14ac:dyDescent="0.2">
      <c r="A95" s="113" t="s">
        <v>521</v>
      </c>
      <c r="B95" s="114">
        <v>3692</v>
      </c>
      <c r="C95" s="113" t="s">
        <v>545</v>
      </c>
      <c r="D95" s="113" t="s">
        <v>889</v>
      </c>
      <c r="E95" s="115">
        <v>8368</v>
      </c>
      <c r="F95" s="115">
        <v>8135</v>
      </c>
      <c r="G95" s="115">
        <v>7800</v>
      </c>
      <c r="H95" s="115">
        <v>8566</v>
      </c>
      <c r="I95" s="115">
        <v>9692</v>
      </c>
      <c r="J95" s="115">
        <v>9854</v>
      </c>
      <c r="K95" s="115">
        <v>9221</v>
      </c>
      <c r="L95" s="115">
        <v>9773</v>
      </c>
      <c r="M95" s="115">
        <v>10835</v>
      </c>
      <c r="N95" s="115">
        <v>8568</v>
      </c>
      <c r="O95" s="115">
        <v>14718.749724419125</v>
      </c>
      <c r="P95" s="115">
        <v>14595.318905383592</v>
      </c>
      <c r="Q95" s="116">
        <v>13732.425349205567</v>
      </c>
      <c r="R95" s="116">
        <v>14033</v>
      </c>
      <c r="S95" s="116">
        <v>13459</v>
      </c>
      <c r="T95" s="116">
        <v>11855</v>
      </c>
      <c r="U95" s="116">
        <v>7610.8797812416178</v>
      </c>
      <c r="V95" s="116">
        <v>7704.4747504649695</v>
      </c>
      <c r="W95" s="128">
        <v>7738.717844485991</v>
      </c>
      <c r="X95" s="128">
        <v>7732</v>
      </c>
      <c r="Y95" s="128">
        <v>7626</v>
      </c>
      <c r="Z95" s="128">
        <v>7626</v>
      </c>
      <c r="AA95" s="151">
        <v>7427.226515143353</v>
      </c>
    </row>
    <row r="96" spans="1:27" ht="15" x14ac:dyDescent="0.2">
      <c r="A96" s="113" t="s">
        <v>521</v>
      </c>
      <c r="B96" s="114">
        <v>3759</v>
      </c>
      <c r="C96" s="113" t="s">
        <v>913</v>
      </c>
      <c r="D96" s="113" t="s">
        <v>889</v>
      </c>
      <c r="E96" s="115"/>
      <c r="F96" s="115"/>
      <c r="G96" s="115"/>
      <c r="H96" s="115"/>
      <c r="I96" s="115"/>
      <c r="J96" s="115"/>
      <c r="K96" s="115"/>
      <c r="L96" s="115"/>
      <c r="M96" s="115"/>
      <c r="N96" s="115"/>
      <c r="O96" s="115"/>
      <c r="P96" s="115"/>
      <c r="Q96" s="116"/>
      <c r="R96" s="116">
        <v>2309</v>
      </c>
      <c r="S96" s="116"/>
      <c r="T96" s="116" t="s">
        <v>868</v>
      </c>
      <c r="U96" s="116" t="s">
        <v>868</v>
      </c>
      <c r="V96" s="116" t="s">
        <v>868</v>
      </c>
      <c r="W96" s="128" t="s">
        <v>868</v>
      </c>
      <c r="X96" s="128" t="s">
        <v>868</v>
      </c>
      <c r="Y96" s="128" t="s">
        <v>868</v>
      </c>
      <c r="Z96" s="128" t="s">
        <v>868</v>
      </c>
      <c r="AA96" s="151" t="s">
        <v>868</v>
      </c>
    </row>
    <row r="97" spans="1:27" ht="15" x14ac:dyDescent="0.2">
      <c r="A97" s="113" t="s">
        <v>521</v>
      </c>
      <c r="B97" s="114">
        <v>4550</v>
      </c>
      <c r="C97" s="113" t="s">
        <v>549</v>
      </c>
      <c r="D97" s="113" t="s">
        <v>889</v>
      </c>
      <c r="E97" s="115">
        <v>900</v>
      </c>
      <c r="F97" s="115">
        <v>900</v>
      </c>
      <c r="G97" s="115">
        <v>900</v>
      </c>
      <c r="H97" s="115">
        <v>900</v>
      </c>
      <c r="I97" s="115">
        <v>1000</v>
      </c>
      <c r="J97" s="115">
        <v>1000</v>
      </c>
      <c r="K97" s="115">
        <v>1000</v>
      </c>
      <c r="L97" s="115">
        <v>1000</v>
      </c>
      <c r="M97" s="115">
        <v>1000</v>
      </c>
      <c r="N97" s="115">
        <v>1071</v>
      </c>
      <c r="O97" s="115">
        <v>1308.72</v>
      </c>
      <c r="P97" s="115">
        <v>1316</v>
      </c>
      <c r="Q97" s="116">
        <v>1285</v>
      </c>
      <c r="R97" s="116">
        <v>1324</v>
      </c>
      <c r="S97" s="116">
        <v>1383</v>
      </c>
      <c r="T97" s="116">
        <v>2216</v>
      </c>
      <c r="U97" s="116">
        <v>2346</v>
      </c>
      <c r="V97" s="116">
        <v>2353.8601365279774</v>
      </c>
      <c r="W97" s="128">
        <v>2421.4521931346285</v>
      </c>
      <c r="X97" s="128">
        <v>2455.2399104622136</v>
      </c>
      <c r="Y97" s="128">
        <v>2503</v>
      </c>
      <c r="Z97" s="128">
        <v>2551</v>
      </c>
      <c r="AA97" s="151">
        <v>1768.8989388847758</v>
      </c>
    </row>
    <row r="98" spans="1:27" ht="15" x14ac:dyDescent="0.2">
      <c r="A98" s="113" t="s">
        <v>521</v>
      </c>
      <c r="B98" s="114">
        <v>4668</v>
      </c>
      <c r="C98" s="113" t="s">
        <v>904</v>
      </c>
      <c r="D98" s="113" t="s">
        <v>889</v>
      </c>
      <c r="E98" s="115">
        <v>1268</v>
      </c>
      <c r="F98" s="115">
        <v>1295</v>
      </c>
      <c r="G98" s="115">
        <v>1480</v>
      </c>
      <c r="H98" s="115">
        <v>1480</v>
      </c>
      <c r="I98" s="115">
        <v>1478</v>
      </c>
      <c r="J98" s="115">
        <v>1478</v>
      </c>
      <c r="K98" s="115">
        <v>1678</v>
      </c>
      <c r="L98" s="115">
        <v>1596</v>
      </c>
      <c r="M98" s="115">
        <v>1692</v>
      </c>
      <c r="N98" s="115">
        <v>1231</v>
      </c>
      <c r="O98" s="115">
        <v>1762.0254009284399</v>
      </c>
      <c r="P98" s="115">
        <v>1227.6884806443352</v>
      </c>
      <c r="Q98" s="116">
        <v>0</v>
      </c>
      <c r="R98" s="116">
        <v>0</v>
      </c>
      <c r="S98" s="116"/>
      <c r="T98" s="116" t="s">
        <v>868</v>
      </c>
      <c r="U98" s="116" t="s">
        <v>868</v>
      </c>
      <c r="V98" s="116" t="s">
        <v>868</v>
      </c>
      <c r="W98" s="128" t="s">
        <v>868</v>
      </c>
      <c r="X98" s="128" t="s">
        <v>868</v>
      </c>
      <c r="Y98" s="128" t="s">
        <v>868</v>
      </c>
      <c r="Z98" s="128" t="s">
        <v>868</v>
      </c>
      <c r="AA98" s="151" t="s">
        <v>868</v>
      </c>
    </row>
    <row r="99" spans="1:27" ht="15" x14ac:dyDescent="0.2">
      <c r="A99" s="113" t="s">
        <v>521</v>
      </c>
      <c r="B99" s="114">
        <v>4669</v>
      </c>
      <c r="C99" s="113" t="s">
        <v>914</v>
      </c>
      <c r="D99" s="113" t="s">
        <v>889</v>
      </c>
      <c r="E99" s="115">
        <v>6258</v>
      </c>
      <c r="F99" s="115">
        <v>6419.4564</v>
      </c>
      <c r="G99" s="115">
        <v>7461</v>
      </c>
      <c r="H99" s="115">
        <v>7500</v>
      </c>
      <c r="I99" s="115">
        <v>7598</v>
      </c>
      <c r="J99" s="115">
        <v>7599</v>
      </c>
      <c r="K99" s="115">
        <v>7600</v>
      </c>
      <c r="L99" s="115">
        <v>7600</v>
      </c>
      <c r="M99" s="115">
        <v>7235</v>
      </c>
      <c r="N99" s="115">
        <v>5915</v>
      </c>
      <c r="O99" s="115">
        <v>6881</v>
      </c>
      <c r="P99" s="115">
        <v>7086.00240895562</v>
      </c>
      <c r="Q99" s="116">
        <v>7029.1186988639438</v>
      </c>
      <c r="R99" s="116">
        <v>7312</v>
      </c>
      <c r="S99" s="116">
        <v>7318</v>
      </c>
      <c r="T99" s="116">
        <v>7910</v>
      </c>
      <c r="U99" s="116">
        <v>6418.1896093679661</v>
      </c>
      <c r="V99" s="116">
        <v>7148.1098442490957</v>
      </c>
      <c r="W99" s="128">
        <v>7047</v>
      </c>
      <c r="X99" s="128">
        <v>7277.3001241078655</v>
      </c>
      <c r="Y99" s="128">
        <v>7169</v>
      </c>
      <c r="Z99" s="128">
        <v>6559</v>
      </c>
      <c r="AA99" s="151">
        <v>7247.5022840696429</v>
      </c>
    </row>
    <row r="100" spans="1:27" ht="15" x14ac:dyDescent="0.2">
      <c r="A100" s="113" t="s">
        <v>521</v>
      </c>
      <c r="B100" s="114">
        <v>4734</v>
      </c>
      <c r="C100" s="113" t="s">
        <v>554</v>
      </c>
      <c r="D100" s="113" t="s">
        <v>889</v>
      </c>
      <c r="E100" s="115">
        <v>29744</v>
      </c>
      <c r="F100" s="115">
        <v>29744</v>
      </c>
      <c r="G100" s="115">
        <v>29150</v>
      </c>
      <c r="H100" s="115">
        <v>29500</v>
      </c>
      <c r="I100" s="115">
        <v>29825</v>
      </c>
      <c r="J100" s="115">
        <v>30220</v>
      </c>
      <c r="K100" s="115">
        <v>29101</v>
      </c>
      <c r="L100" s="115">
        <v>29015</v>
      </c>
      <c r="M100" s="115">
        <v>31422</v>
      </c>
      <c r="N100" s="115">
        <v>30077</v>
      </c>
      <c r="O100" s="115">
        <v>31100.48929135724</v>
      </c>
      <c r="P100" s="115">
        <v>31421.20252364449</v>
      </c>
      <c r="Q100" s="116">
        <v>31608.956998674093</v>
      </c>
      <c r="R100" s="116">
        <v>32575</v>
      </c>
      <c r="S100" s="116">
        <v>33387</v>
      </c>
      <c r="T100" s="116">
        <v>33500</v>
      </c>
      <c r="U100" s="116">
        <v>33432</v>
      </c>
      <c r="V100" s="116">
        <v>35239.189654770998</v>
      </c>
      <c r="W100" s="128">
        <v>35475.771850825608</v>
      </c>
      <c r="X100" s="128">
        <v>32782.824421360681</v>
      </c>
      <c r="Y100" s="128">
        <v>33039</v>
      </c>
      <c r="Z100" s="128">
        <v>33334</v>
      </c>
      <c r="AA100" s="151">
        <v>35360.056513446136</v>
      </c>
    </row>
    <row r="101" spans="1:27" ht="15" x14ac:dyDescent="0.2">
      <c r="A101" s="113" t="s">
        <v>521</v>
      </c>
      <c r="B101" s="114">
        <v>6040</v>
      </c>
      <c r="C101" s="113" t="s">
        <v>558</v>
      </c>
      <c r="D101" s="113" t="s">
        <v>889</v>
      </c>
      <c r="E101" s="115">
        <v>19874</v>
      </c>
      <c r="F101" s="115">
        <v>19910</v>
      </c>
      <c r="G101" s="115">
        <v>19843</v>
      </c>
      <c r="H101" s="115">
        <v>19910</v>
      </c>
      <c r="I101" s="115">
        <v>21728</v>
      </c>
      <c r="J101" s="115">
        <v>23677</v>
      </c>
      <c r="K101" s="115">
        <v>26127</v>
      </c>
      <c r="L101" s="115">
        <v>26127</v>
      </c>
      <c r="M101" s="115">
        <v>21361</v>
      </c>
      <c r="N101" s="115">
        <v>19589</v>
      </c>
      <c r="O101" s="115">
        <v>21738</v>
      </c>
      <c r="P101" s="115">
        <v>22929.878065055556</v>
      </c>
      <c r="Q101" s="116">
        <v>21914.457964843918</v>
      </c>
      <c r="R101" s="116">
        <v>26708</v>
      </c>
      <c r="S101" s="116">
        <v>27514</v>
      </c>
      <c r="T101" s="116">
        <v>27880</v>
      </c>
      <c r="U101" s="116">
        <v>27455.99829952039</v>
      </c>
      <c r="V101" s="116">
        <v>27734.354783439936</v>
      </c>
      <c r="W101" s="128">
        <v>27823.979686613737</v>
      </c>
      <c r="X101" s="128">
        <v>28584</v>
      </c>
      <c r="Y101" s="128">
        <v>29117</v>
      </c>
      <c r="Z101" s="128">
        <v>30393</v>
      </c>
      <c r="AA101" s="151">
        <v>31688.808319905031</v>
      </c>
    </row>
    <row r="102" spans="1:27" ht="15" x14ac:dyDescent="0.2">
      <c r="A102" s="113" t="s">
        <v>521</v>
      </c>
      <c r="B102" s="114">
        <v>7299</v>
      </c>
      <c r="C102" s="113" t="s">
        <v>915</v>
      </c>
      <c r="D102" s="113" t="s">
        <v>889</v>
      </c>
      <c r="E102" s="115" t="s">
        <v>954</v>
      </c>
      <c r="F102" s="115" t="s">
        <v>954</v>
      </c>
      <c r="G102" s="115" t="s">
        <v>954</v>
      </c>
      <c r="H102" s="115" t="s">
        <v>954</v>
      </c>
      <c r="I102" s="115" t="s">
        <v>954</v>
      </c>
      <c r="J102" s="115" t="s">
        <v>954</v>
      </c>
      <c r="K102" s="115" t="s">
        <v>954</v>
      </c>
      <c r="L102" s="115">
        <v>641</v>
      </c>
      <c r="M102" s="115">
        <v>641</v>
      </c>
      <c r="N102" s="115">
        <v>620</v>
      </c>
      <c r="O102" s="115">
        <v>888.81053078240984</v>
      </c>
      <c r="P102" s="115">
        <v>984.60872004659359</v>
      </c>
      <c r="Q102" s="116">
        <v>0</v>
      </c>
      <c r="R102" s="116">
        <v>0</v>
      </c>
      <c r="S102" s="116"/>
      <c r="T102" s="116" t="s">
        <v>868</v>
      </c>
      <c r="U102" s="116" t="s">
        <v>868</v>
      </c>
      <c r="V102" s="116" t="s">
        <v>868</v>
      </c>
      <c r="W102" s="128" t="s">
        <v>868</v>
      </c>
      <c r="X102" s="128" t="s">
        <v>868</v>
      </c>
      <c r="Y102" s="128" t="s">
        <v>868</v>
      </c>
      <c r="Z102" s="128" t="s">
        <v>868</v>
      </c>
      <c r="AA102" s="151" t="s">
        <v>868</v>
      </c>
    </row>
    <row r="103" spans="1:27" ht="15" x14ac:dyDescent="0.2">
      <c r="A103" s="113" t="s">
        <v>521</v>
      </c>
      <c r="B103" s="114">
        <v>7999</v>
      </c>
      <c r="C103" s="113" t="s">
        <v>523</v>
      </c>
      <c r="D103" s="113" t="s">
        <v>889</v>
      </c>
      <c r="E103" s="115">
        <v>1645</v>
      </c>
      <c r="F103" s="115">
        <v>1657</v>
      </c>
      <c r="G103" s="115">
        <v>1669</v>
      </c>
      <c r="H103" s="115">
        <v>1720</v>
      </c>
      <c r="I103" s="115">
        <v>1720</v>
      </c>
      <c r="J103" s="115">
        <v>1720</v>
      </c>
      <c r="K103" s="115">
        <v>1720</v>
      </c>
      <c r="L103" s="115">
        <v>1396</v>
      </c>
      <c r="M103" s="115">
        <v>1994</v>
      </c>
      <c r="N103" s="115">
        <v>1979</v>
      </c>
      <c r="O103" s="115">
        <v>1914</v>
      </c>
      <c r="P103" s="115">
        <v>1943.2864</v>
      </c>
      <c r="Q103" s="116">
        <v>1943.2864</v>
      </c>
      <c r="R103" s="116">
        <v>1971</v>
      </c>
      <c r="S103" s="116">
        <v>1971</v>
      </c>
      <c r="T103" s="116">
        <v>1987</v>
      </c>
      <c r="U103" s="116">
        <v>1990.2123499999998</v>
      </c>
      <c r="V103" s="116">
        <v>2009.5347999999999</v>
      </c>
      <c r="W103" s="128">
        <v>2006.7744499999999</v>
      </c>
      <c r="X103" s="128">
        <v>2026.0968918800354</v>
      </c>
      <c r="Y103" s="128">
        <v>2037</v>
      </c>
      <c r="Z103" s="128">
        <v>2054</v>
      </c>
      <c r="AA103" s="151">
        <v>1999.5636998254799</v>
      </c>
    </row>
    <row r="104" spans="1:27" ht="15" x14ac:dyDescent="0.2">
      <c r="A104" s="113" t="s">
        <v>521</v>
      </c>
      <c r="B104" s="114">
        <v>8417</v>
      </c>
      <c r="C104" s="113" t="s">
        <v>523</v>
      </c>
      <c r="D104" s="113" t="s">
        <v>889</v>
      </c>
      <c r="E104" s="115">
        <v>8237</v>
      </c>
      <c r="F104" s="115">
        <v>7609</v>
      </c>
      <c r="G104" s="115">
        <v>8567</v>
      </c>
      <c r="H104" s="115">
        <v>8567</v>
      </c>
      <c r="I104" s="115">
        <v>8588</v>
      </c>
      <c r="J104" s="115">
        <v>8277</v>
      </c>
      <c r="K104" s="115">
        <v>8230</v>
      </c>
      <c r="L104" s="115">
        <v>6783</v>
      </c>
      <c r="M104" s="115">
        <v>6861</v>
      </c>
      <c r="N104" s="115">
        <v>4812</v>
      </c>
      <c r="O104" s="115">
        <v>7306.9407727272728</v>
      </c>
      <c r="P104" s="115">
        <v>7518.0076339521029</v>
      </c>
      <c r="Q104" s="116">
        <v>7022.0120172955203</v>
      </c>
      <c r="R104" s="116">
        <v>7591</v>
      </c>
      <c r="S104" s="116">
        <v>7631</v>
      </c>
      <c r="T104" s="116">
        <v>7867</v>
      </c>
      <c r="U104" s="116">
        <v>7864.9373970228089</v>
      </c>
      <c r="V104" s="116">
        <v>7961.9126217751482</v>
      </c>
      <c r="W104" s="128">
        <v>7959.345243122073</v>
      </c>
      <c r="X104" s="128">
        <v>7965.5365096848655</v>
      </c>
      <c r="Y104" s="128">
        <v>7933</v>
      </c>
      <c r="Z104" s="128">
        <v>8499</v>
      </c>
      <c r="AA104" s="151">
        <v>7671.5665298064796</v>
      </c>
    </row>
    <row r="105" spans="1:27" ht="15" x14ac:dyDescent="0.2">
      <c r="A105" s="113" t="s">
        <v>521</v>
      </c>
      <c r="B105" s="114">
        <v>11863</v>
      </c>
      <c r="C105" s="113" t="s">
        <v>916</v>
      </c>
      <c r="D105" s="113" t="s">
        <v>889</v>
      </c>
      <c r="E105" s="115">
        <v>0</v>
      </c>
      <c r="F105" s="115">
        <v>0</v>
      </c>
      <c r="G105" s="115">
        <v>0</v>
      </c>
      <c r="H105" s="115">
        <v>0</v>
      </c>
      <c r="I105" s="115">
        <v>0</v>
      </c>
      <c r="J105" s="115">
        <v>0</v>
      </c>
      <c r="K105" s="115">
        <v>0</v>
      </c>
      <c r="L105" s="115">
        <v>0</v>
      </c>
      <c r="M105" s="115">
        <v>217124</v>
      </c>
      <c r="N105" s="115">
        <v>221781</v>
      </c>
      <c r="O105" s="115">
        <v>212260</v>
      </c>
      <c r="P105" s="115">
        <v>216805.38236748049</v>
      </c>
      <c r="Q105" s="116">
        <v>218506.07081345367</v>
      </c>
      <c r="R105" s="116">
        <v>247391</v>
      </c>
      <c r="S105" s="116">
        <v>276254</v>
      </c>
      <c r="T105" s="116">
        <v>276526</v>
      </c>
      <c r="U105" s="116">
        <v>283070</v>
      </c>
      <c r="V105" s="116">
        <v>290199.79044932907</v>
      </c>
      <c r="W105" s="128">
        <v>297290.47290409514</v>
      </c>
      <c r="X105" s="128">
        <v>310502.21468423947</v>
      </c>
      <c r="Y105" s="128">
        <v>330615</v>
      </c>
      <c r="Z105" s="128">
        <v>341712</v>
      </c>
      <c r="AA105" s="151">
        <v>360211</v>
      </c>
    </row>
    <row r="106" spans="1:27" ht="15" x14ac:dyDescent="0.2">
      <c r="A106" s="121" t="s">
        <v>582</v>
      </c>
      <c r="B106" s="114">
        <v>742</v>
      </c>
      <c r="C106" s="113" t="s">
        <v>584</v>
      </c>
      <c r="D106" s="113" t="s">
        <v>889</v>
      </c>
      <c r="E106" s="115">
        <v>20949</v>
      </c>
      <c r="F106" s="115">
        <v>22180</v>
      </c>
      <c r="G106" s="115">
        <v>29126</v>
      </c>
      <c r="H106" s="115">
        <v>31239</v>
      </c>
      <c r="I106" s="115">
        <v>33105</v>
      </c>
      <c r="J106" s="115">
        <v>33105</v>
      </c>
      <c r="K106" s="115">
        <v>31749</v>
      </c>
      <c r="L106" s="115">
        <v>32301</v>
      </c>
      <c r="M106" s="115">
        <v>32103</v>
      </c>
      <c r="N106" s="115">
        <v>29051</v>
      </c>
      <c r="O106" s="115">
        <v>30355</v>
      </c>
      <c r="P106" s="115">
        <v>31156.25062054443</v>
      </c>
      <c r="Q106" s="116">
        <v>31006.454314737279</v>
      </c>
      <c r="R106" s="116">
        <v>31086</v>
      </c>
      <c r="S106" s="116">
        <v>31123</v>
      </c>
      <c r="T106" s="116">
        <v>33736</v>
      </c>
      <c r="U106" s="116">
        <v>30963.580532913333</v>
      </c>
      <c r="V106" s="116">
        <v>27674.243876373777</v>
      </c>
      <c r="W106" s="128">
        <v>28874.689419314167</v>
      </c>
      <c r="X106" s="128">
        <v>28834.104117014009</v>
      </c>
      <c r="Y106" s="128">
        <v>28932</v>
      </c>
      <c r="Z106" s="128">
        <v>29172</v>
      </c>
      <c r="AA106" s="151">
        <v>28877.516925602918</v>
      </c>
    </row>
    <row r="107" spans="1:27" ht="15" x14ac:dyDescent="0.2">
      <c r="A107" s="121" t="s">
        <v>582</v>
      </c>
      <c r="B107" s="114">
        <v>2980</v>
      </c>
      <c r="C107" s="113" t="s">
        <v>586</v>
      </c>
      <c r="D107" s="113" t="s">
        <v>889</v>
      </c>
      <c r="E107" s="115">
        <v>37673</v>
      </c>
      <c r="F107" s="115">
        <v>38552</v>
      </c>
      <c r="G107" s="115">
        <v>38777</v>
      </c>
      <c r="H107" s="115">
        <v>38922</v>
      </c>
      <c r="I107" s="115">
        <v>39141</v>
      </c>
      <c r="J107" s="115">
        <v>39298</v>
      </c>
      <c r="K107" s="115">
        <v>39395</v>
      </c>
      <c r="L107" s="115">
        <v>40093</v>
      </c>
      <c r="M107" s="115">
        <v>40866</v>
      </c>
      <c r="N107" s="115">
        <v>40661</v>
      </c>
      <c r="O107" s="115">
        <v>39910</v>
      </c>
      <c r="P107" s="115">
        <v>41979.278199360029</v>
      </c>
      <c r="Q107" s="116">
        <v>42428.824710571978</v>
      </c>
      <c r="R107" s="116">
        <v>42691</v>
      </c>
      <c r="S107" s="116">
        <v>42824</v>
      </c>
      <c r="T107" s="116">
        <v>43537</v>
      </c>
      <c r="U107" s="116">
        <v>43614</v>
      </c>
      <c r="V107" s="116">
        <v>45394.834645176896</v>
      </c>
      <c r="W107" s="128">
        <v>45753.856337309175</v>
      </c>
      <c r="X107" s="128">
        <v>46161.441301793791</v>
      </c>
      <c r="Y107" s="128">
        <v>45791</v>
      </c>
      <c r="Z107" s="128">
        <v>45925</v>
      </c>
      <c r="AA107" s="151">
        <v>44837.351630968973</v>
      </c>
    </row>
    <row r="108" spans="1:27" ht="15" x14ac:dyDescent="0.2">
      <c r="A108" s="121" t="s">
        <v>582</v>
      </c>
      <c r="B108" s="114">
        <v>2981</v>
      </c>
      <c r="C108" s="113" t="s">
        <v>917</v>
      </c>
      <c r="D108" s="113" t="s">
        <v>889</v>
      </c>
      <c r="E108" s="115">
        <v>147540</v>
      </c>
      <c r="F108" s="115">
        <v>145283</v>
      </c>
      <c r="G108" s="115">
        <v>145799</v>
      </c>
      <c r="H108" s="115">
        <v>146000</v>
      </c>
      <c r="I108" s="115">
        <v>146832</v>
      </c>
      <c r="J108" s="115">
        <v>147172</v>
      </c>
      <c r="K108" s="115">
        <v>151768</v>
      </c>
      <c r="L108" s="115">
        <v>116663</v>
      </c>
      <c r="M108" s="115">
        <v>116529</v>
      </c>
      <c r="N108" s="115">
        <v>118802</v>
      </c>
      <c r="O108" s="115">
        <v>122709</v>
      </c>
      <c r="P108" s="115">
        <v>132080.87339496994</v>
      </c>
      <c r="Q108" s="116">
        <v>133058.0332730595</v>
      </c>
      <c r="R108" s="116">
        <v>133637.35649165933</v>
      </c>
      <c r="S108" s="116">
        <v>138865</v>
      </c>
      <c r="T108" s="116">
        <v>141828</v>
      </c>
      <c r="U108" s="116">
        <v>144139</v>
      </c>
      <c r="V108" s="116">
        <v>146669.49184813324</v>
      </c>
      <c r="W108" s="128">
        <v>145889.40093200037</v>
      </c>
      <c r="X108" s="128">
        <v>147007.28169820789</v>
      </c>
      <c r="Y108" s="128">
        <v>144112</v>
      </c>
      <c r="Z108" s="128">
        <v>147382</v>
      </c>
      <c r="AA108" s="151">
        <v>147035</v>
      </c>
    </row>
    <row r="109" spans="1:27" ht="15" x14ac:dyDescent="0.2">
      <c r="A109" s="121" t="s">
        <v>582</v>
      </c>
      <c r="B109" s="114">
        <v>7692</v>
      </c>
      <c r="C109" s="113" t="s">
        <v>590</v>
      </c>
      <c r="D109" s="113" t="s">
        <v>889</v>
      </c>
      <c r="E109" s="115">
        <v>5299</v>
      </c>
      <c r="F109" s="115">
        <v>5299</v>
      </c>
      <c r="G109" s="115">
        <v>5299</v>
      </c>
      <c r="H109" s="115">
        <v>5299</v>
      </c>
      <c r="I109" s="115">
        <v>5299</v>
      </c>
      <c r="J109" s="115">
        <v>5172</v>
      </c>
      <c r="K109" s="115">
        <v>5172</v>
      </c>
      <c r="L109" s="115">
        <v>7398</v>
      </c>
      <c r="M109" s="115">
        <v>7398</v>
      </c>
      <c r="N109" s="115">
        <v>4259</v>
      </c>
      <c r="O109" s="115">
        <v>6013</v>
      </c>
      <c r="P109" s="115">
        <v>4131.56139002082</v>
      </c>
      <c r="Q109" s="116">
        <v>5264.6964947424394</v>
      </c>
      <c r="R109" s="116">
        <v>5171</v>
      </c>
      <c r="S109" s="116">
        <v>5408</v>
      </c>
      <c r="T109" s="116">
        <v>5463</v>
      </c>
      <c r="U109" s="116">
        <v>5463.1302109818171</v>
      </c>
      <c r="V109" s="116">
        <v>5693.2638173209707</v>
      </c>
      <c r="W109" s="128">
        <v>5977.3426554829448</v>
      </c>
      <c r="X109" s="128">
        <v>5978.8337806714289</v>
      </c>
      <c r="Y109" s="128">
        <v>5985</v>
      </c>
      <c r="Z109" s="128">
        <v>6000</v>
      </c>
      <c r="AA109" s="151">
        <v>5389.2170191933001</v>
      </c>
    </row>
    <row r="110" spans="1:27" ht="15" x14ac:dyDescent="0.2">
      <c r="A110" s="121" t="s">
        <v>582</v>
      </c>
      <c r="B110" s="114">
        <v>10350</v>
      </c>
      <c r="C110" s="113" t="s">
        <v>904</v>
      </c>
      <c r="D110" s="113" t="s">
        <v>889</v>
      </c>
      <c r="E110" s="115">
        <v>1260</v>
      </c>
      <c r="F110" s="115">
        <v>1018</v>
      </c>
      <c r="G110" s="115">
        <v>1285</v>
      </c>
      <c r="H110" s="115">
        <v>1285</v>
      </c>
      <c r="I110" s="115">
        <v>1285</v>
      </c>
      <c r="J110" s="115">
        <v>1285</v>
      </c>
      <c r="K110" s="115">
        <v>1799</v>
      </c>
      <c r="L110" s="115">
        <v>1439</v>
      </c>
      <c r="M110" s="115">
        <v>2085</v>
      </c>
      <c r="N110" s="115">
        <v>2081</v>
      </c>
      <c r="O110" s="115">
        <v>826</v>
      </c>
      <c r="P110" s="115">
        <v>845.77512396832003</v>
      </c>
      <c r="Q110" s="116">
        <v>845.77512396832003</v>
      </c>
      <c r="R110" s="116">
        <v>826</v>
      </c>
      <c r="S110" s="116">
        <v>1372</v>
      </c>
      <c r="T110" s="116">
        <v>0</v>
      </c>
      <c r="U110" s="116">
        <v>1372</v>
      </c>
      <c r="V110" s="116" t="s">
        <v>868</v>
      </c>
      <c r="W110" s="128" t="s">
        <v>868</v>
      </c>
      <c r="X110" s="128" t="s">
        <v>868</v>
      </c>
      <c r="Y110" s="128" t="s">
        <v>868</v>
      </c>
      <c r="Z110" s="128" t="s">
        <v>868</v>
      </c>
      <c r="AA110" s="151" t="s">
        <v>868</v>
      </c>
    </row>
    <row r="111" spans="1:27" ht="15" x14ac:dyDescent="0.2">
      <c r="A111" s="121" t="s">
        <v>582</v>
      </c>
      <c r="B111" s="114">
        <v>10795</v>
      </c>
      <c r="C111" s="113" t="s">
        <v>593</v>
      </c>
      <c r="D111" s="113" t="s">
        <v>889</v>
      </c>
      <c r="E111" s="115">
        <v>12784</v>
      </c>
      <c r="F111" s="115">
        <v>12527</v>
      </c>
      <c r="G111" s="115">
        <v>13834</v>
      </c>
      <c r="H111" s="115">
        <v>14435</v>
      </c>
      <c r="I111" s="115">
        <v>14435</v>
      </c>
      <c r="J111" s="115">
        <v>14435</v>
      </c>
      <c r="K111" s="115">
        <v>14435</v>
      </c>
      <c r="L111" s="115">
        <v>12860</v>
      </c>
      <c r="M111" s="115">
        <v>15316</v>
      </c>
      <c r="N111" s="115">
        <v>15325</v>
      </c>
      <c r="O111" s="115">
        <v>14392.746208573048</v>
      </c>
      <c r="P111" s="115">
        <v>14450.982595960551</v>
      </c>
      <c r="Q111" s="116">
        <v>14477.848617683376</v>
      </c>
      <c r="R111" s="116">
        <v>14552</v>
      </c>
      <c r="S111" s="116">
        <v>12029</v>
      </c>
      <c r="T111" s="116">
        <v>14528</v>
      </c>
      <c r="U111" s="116">
        <v>14525</v>
      </c>
      <c r="V111" s="116">
        <v>14633.719566978774</v>
      </c>
      <c r="W111" s="128">
        <v>14817.031703877787</v>
      </c>
      <c r="X111" s="128">
        <v>15225.095750973367</v>
      </c>
      <c r="Y111" s="128">
        <v>14897</v>
      </c>
      <c r="Z111" s="128">
        <v>14573</v>
      </c>
      <c r="AA111" s="151">
        <v>13970.791795211589</v>
      </c>
    </row>
    <row r="112" spans="1:27" ht="15" x14ac:dyDescent="0.2">
      <c r="A112" s="121" t="s">
        <v>582</v>
      </c>
      <c r="B112" s="114">
        <v>11218</v>
      </c>
      <c r="C112" s="113" t="s">
        <v>595</v>
      </c>
      <c r="D112" s="113" t="s">
        <v>889</v>
      </c>
      <c r="E112" s="115">
        <v>13510</v>
      </c>
      <c r="F112" s="115">
        <v>13768</v>
      </c>
      <c r="G112" s="115">
        <v>15365</v>
      </c>
      <c r="H112" s="115">
        <v>16570</v>
      </c>
      <c r="I112" s="115">
        <v>18482</v>
      </c>
      <c r="J112" s="115">
        <v>18782</v>
      </c>
      <c r="K112" s="115">
        <v>18882</v>
      </c>
      <c r="L112" s="115">
        <v>18882</v>
      </c>
      <c r="M112" s="115">
        <v>14733</v>
      </c>
      <c r="N112" s="115">
        <v>14687</v>
      </c>
      <c r="O112" s="115">
        <v>15369</v>
      </c>
      <c r="P112" s="115">
        <v>15453.533658654862</v>
      </c>
      <c r="Q112" s="116">
        <v>16482.650255223209</v>
      </c>
      <c r="R112" s="116">
        <v>16569</v>
      </c>
      <c r="S112" s="116">
        <v>20519</v>
      </c>
      <c r="T112" s="116">
        <v>17117</v>
      </c>
      <c r="U112" s="116">
        <v>17152.889598419497</v>
      </c>
      <c r="V112" s="116">
        <v>17373.606221441591</v>
      </c>
      <c r="W112" s="128">
        <v>17397.413889867541</v>
      </c>
      <c r="X112" s="128">
        <v>17437.549373272745</v>
      </c>
      <c r="Y112" s="128">
        <v>17529</v>
      </c>
      <c r="Z112" s="128">
        <v>17781</v>
      </c>
      <c r="AA112" s="151">
        <v>17475.299940118177</v>
      </c>
    </row>
    <row r="113" spans="1:27" ht="15" x14ac:dyDescent="0.2">
      <c r="A113" s="121" t="s">
        <v>582</v>
      </c>
      <c r="B113" s="114">
        <v>11245</v>
      </c>
      <c r="C113" s="113" t="s">
        <v>597</v>
      </c>
      <c r="D113" s="113" t="s">
        <v>889</v>
      </c>
      <c r="E113" s="115">
        <v>16209</v>
      </c>
      <c r="F113" s="115">
        <v>15817</v>
      </c>
      <c r="G113" s="115">
        <v>16958</v>
      </c>
      <c r="H113" s="115">
        <v>17750</v>
      </c>
      <c r="I113" s="115">
        <v>17750</v>
      </c>
      <c r="J113" s="115">
        <v>17750</v>
      </c>
      <c r="K113" s="115">
        <v>17750</v>
      </c>
      <c r="L113" s="115">
        <v>15151</v>
      </c>
      <c r="M113" s="115">
        <v>15151</v>
      </c>
      <c r="N113" s="115">
        <v>15151</v>
      </c>
      <c r="O113" s="115">
        <v>16509.209295278779</v>
      </c>
      <c r="P113" s="115">
        <v>17321.207154476582</v>
      </c>
      <c r="Q113" s="116">
        <v>16306.601480239859</v>
      </c>
      <c r="R113" s="116">
        <v>16736</v>
      </c>
      <c r="S113" s="116">
        <v>15183</v>
      </c>
      <c r="T113" s="116">
        <v>15183</v>
      </c>
      <c r="U113" s="116">
        <v>15454</v>
      </c>
      <c r="V113" s="116">
        <v>15182.79820269321</v>
      </c>
      <c r="W113" s="128">
        <v>15183</v>
      </c>
      <c r="X113" s="128">
        <v>15125.72413328784</v>
      </c>
      <c r="Y113" s="128">
        <v>15778</v>
      </c>
      <c r="Z113" s="128">
        <v>15861</v>
      </c>
      <c r="AA113" s="151">
        <v>15633.885488267251</v>
      </c>
    </row>
    <row r="114" spans="1:27" ht="15" x14ac:dyDescent="0.2">
      <c r="A114" s="121" t="s">
        <v>582</v>
      </c>
      <c r="B114" s="114">
        <v>12351</v>
      </c>
      <c r="C114" s="113" t="s">
        <v>599</v>
      </c>
      <c r="D114" s="113" t="s">
        <v>889</v>
      </c>
      <c r="E114" s="115" t="s">
        <v>954</v>
      </c>
      <c r="F114" s="115" t="s">
        <v>954</v>
      </c>
      <c r="G114" s="115">
        <v>79925</v>
      </c>
      <c r="H114" s="115">
        <v>79925</v>
      </c>
      <c r="I114" s="115">
        <v>79925</v>
      </c>
      <c r="J114" s="115">
        <v>74433</v>
      </c>
      <c r="K114" s="115">
        <v>75573</v>
      </c>
      <c r="L114" s="115">
        <v>75573</v>
      </c>
      <c r="M114" s="115">
        <v>69512</v>
      </c>
      <c r="N114" s="115">
        <v>69598</v>
      </c>
      <c r="O114" s="115">
        <v>74767</v>
      </c>
      <c r="P114" s="115">
        <v>76835</v>
      </c>
      <c r="Q114" s="116">
        <v>83545.662645986042</v>
      </c>
      <c r="R114" s="116">
        <v>85346</v>
      </c>
      <c r="S114" s="116">
        <v>75157</v>
      </c>
      <c r="T114" s="116">
        <v>85249</v>
      </c>
      <c r="U114" s="116">
        <v>89900.12774828315</v>
      </c>
      <c r="V114" s="116">
        <v>91547.336079944114</v>
      </c>
      <c r="W114" s="128">
        <v>69665.490389290208</v>
      </c>
      <c r="X114" s="128">
        <v>64740.231190650593</v>
      </c>
      <c r="Y114" s="128">
        <v>66254</v>
      </c>
      <c r="Z114" s="128">
        <v>60675</v>
      </c>
      <c r="AA114" s="151">
        <v>72347.705030029174</v>
      </c>
    </row>
    <row r="115" spans="1:27" ht="15" x14ac:dyDescent="0.2">
      <c r="A115" s="121" t="s">
        <v>582</v>
      </c>
      <c r="B115" s="114">
        <v>20142</v>
      </c>
      <c r="C115" s="113" t="s">
        <v>918</v>
      </c>
      <c r="D115" s="113" t="s">
        <v>889</v>
      </c>
      <c r="E115" s="115" t="s">
        <v>954</v>
      </c>
      <c r="F115" s="115">
        <v>377026.39520000003</v>
      </c>
      <c r="G115" s="115">
        <v>420344</v>
      </c>
      <c r="H115" s="115">
        <v>422867</v>
      </c>
      <c r="I115" s="115">
        <v>425390</v>
      </c>
      <c r="J115" s="115">
        <v>438435</v>
      </c>
      <c r="K115" s="115">
        <v>423718</v>
      </c>
      <c r="L115" s="115">
        <v>423718</v>
      </c>
      <c r="M115" s="115">
        <v>437745</v>
      </c>
      <c r="N115" s="115">
        <v>453743</v>
      </c>
      <c r="O115" s="115">
        <v>466139</v>
      </c>
      <c r="P115" s="115">
        <v>482649.65662676236</v>
      </c>
      <c r="Q115" s="116">
        <v>487218.92472637619</v>
      </c>
      <c r="R115" s="116">
        <v>493276</v>
      </c>
      <c r="S115" s="116">
        <v>445505</v>
      </c>
      <c r="T115" s="116">
        <v>501192</v>
      </c>
      <c r="U115" s="116">
        <v>502994.74017808674</v>
      </c>
      <c r="V115" s="116">
        <v>506353.08542293124</v>
      </c>
      <c r="W115" s="128">
        <v>506299.80355446611</v>
      </c>
      <c r="X115" s="128">
        <v>509136.986381786</v>
      </c>
      <c r="Y115" s="128">
        <v>516659</v>
      </c>
      <c r="Z115" s="128">
        <v>459313</v>
      </c>
      <c r="AA115" s="151">
        <v>488433</v>
      </c>
    </row>
    <row r="116" spans="1:27" ht="15" x14ac:dyDescent="0.2">
      <c r="A116" s="121" t="s">
        <v>582</v>
      </c>
      <c r="B116" s="114">
        <v>20143</v>
      </c>
      <c r="C116" s="113" t="s">
        <v>603</v>
      </c>
      <c r="D116" s="113" t="s">
        <v>889</v>
      </c>
      <c r="E116" s="115" t="s">
        <v>954</v>
      </c>
      <c r="F116" s="115">
        <v>287548</v>
      </c>
      <c r="G116" s="115">
        <v>311123</v>
      </c>
      <c r="H116" s="115">
        <v>312739</v>
      </c>
      <c r="I116" s="115">
        <v>292951</v>
      </c>
      <c r="J116" s="115">
        <v>294444</v>
      </c>
      <c r="K116" s="115">
        <v>294444</v>
      </c>
      <c r="L116" s="115">
        <v>294444</v>
      </c>
      <c r="M116" s="115">
        <v>325035</v>
      </c>
      <c r="N116" s="115">
        <v>325778</v>
      </c>
      <c r="O116" s="115">
        <v>271837.79451585695</v>
      </c>
      <c r="P116" s="115">
        <v>341466</v>
      </c>
      <c r="Q116" s="116">
        <v>342112.44647000812</v>
      </c>
      <c r="R116" s="116">
        <v>342314</v>
      </c>
      <c r="S116" s="116">
        <v>341497</v>
      </c>
      <c r="T116" s="116">
        <v>344829</v>
      </c>
      <c r="U116" s="116">
        <v>347730</v>
      </c>
      <c r="V116" s="116">
        <v>347049.68169628747</v>
      </c>
      <c r="W116" s="128">
        <v>351801.11827336467</v>
      </c>
      <c r="X116" s="128">
        <v>353552.81116674421</v>
      </c>
      <c r="Y116" s="128">
        <v>350725</v>
      </c>
      <c r="Z116" s="128">
        <v>353923</v>
      </c>
      <c r="AA116" s="151">
        <v>344174</v>
      </c>
    </row>
    <row r="117" spans="1:27" ht="15" x14ac:dyDescent="0.2">
      <c r="A117" s="113" t="s">
        <v>604</v>
      </c>
      <c r="B117" s="114">
        <v>341</v>
      </c>
      <c r="C117" s="113" t="s">
        <v>608</v>
      </c>
      <c r="D117" s="113" t="s">
        <v>880</v>
      </c>
      <c r="E117" s="115">
        <v>16911</v>
      </c>
      <c r="F117" s="115">
        <v>15896</v>
      </c>
      <c r="G117" s="115">
        <v>18944</v>
      </c>
      <c r="H117" s="115">
        <v>19500</v>
      </c>
      <c r="I117" s="115">
        <v>20047</v>
      </c>
      <c r="J117" s="115">
        <v>20864</v>
      </c>
      <c r="K117" s="115">
        <v>21763</v>
      </c>
      <c r="L117" s="115">
        <v>21176</v>
      </c>
      <c r="M117" s="115">
        <v>21179</v>
      </c>
      <c r="N117" s="115">
        <v>21181</v>
      </c>
      <c r="O117" s="115">
        <v>21395</v>
      </c>
      <c r="P117" s="115">
        <v>23129.469119556903</v>
      </c>
      <c r="Q117" s="116">
        <v>23318.788285668903</v>
      </c>
      <c r="R117" s="116">
        <v>23862</v>
      </c>
      <c r="S117" s="116">
        <v>24524</v>
      </c>
      <c r="T117" s="116">
        <v>25058</v>
      </c>
      <c r="U117" s="116">
        <v>25438.955470284003</v>
      </c>
      <c r="V117" s="116">
        <v>25741.543053295078</v>
      </c>
      <c r="W117" s="128">
        <v>25751.341582540717</v>
      </c>
      <c r="X117" s="128">
        <v>26298.377818174009</v>
      </c>
      <c r="Y117" s="128">
        <v>26951</v>
      </c>
      <c r="Z117" s="128">
        <v>27430</v>
      </c>
      <c r="AA117" s="151">
        <v>28072.557317562016</v>
      </c>
    </row>
    <row r="118" spans="1:27" ht="15" x14ac:dyDescent="0.2">
      <c r="A118" s="113" t="s">
        <v>604</v>
      </c>
      <c r="B118" s="114">
        <v>645</v>
      </c>
      <c r="C118" s="113" t="s">
        <v>612</v>
      </c>
      <c r="D118" s="113" t="s">
        <v>880</v>
      </c>
      <c r="E118" s="115">
        <v>7476</v>
      </c>
      <c r="F118" s="115">
        <v>7476</v>
      </c>
      <c r="G118" s="115">
        <v>5455</v>
      </c>
      <c r="H118" s="115">
        <v>5455</v>
      </c>
      <c r="I118" s="115">
        <v>6942</v>
      </c>
      <c r="J118" s="115">
        <v>6942</v>
      </c>
      <c r="K118" s="115">
        <v>6942</v>
      </c>
      <c r="L118" s="115">
        <v>5402</v>
      </c>
      <c r="M118" s="115">
        <v>5356</v>
      </c>
      <c r="N118" s="115">
        <v>5296</v>
      </c>
      <c r="O118" s="115">
        <v>5301</v>
      </c>
      <c r="P118" s="115">
        <v>5655</v>
      </c>
      <c r="Q118" s="116">
        <v>5856.1872616733535</v>
      </c>
      <c r="R118" s="116">
        <v>6011</v>
      </c>
      <c r="S118" s="116">
        <v>5553</v>
      </c>
      <c r="T118" s="116">
        <v>5586</v>
      </c>
      <c r="U118" s="116">
        <v>5594.0108333179296</v>
      </c>
      <c r="V118" s="116">
        <v>5660.2448047040325</v>
      </c>
      <c r="W118" s="128">
        <v>5720</v>
      </c>
      <c r="X118" s="128">
        <v>5330.5488121238686</v>
      </c>
      <c r="Y118" s="128">
        <v>5893</v>
      </c>
      <c r="Z118" s="128">
        <v>6070</v>
      </c>
      <c r="AA118" s="151">
        <v>5776.6550767805802</v>
      </c>
    </row>
    <row r="119" spans="1:27" ht="15" x14ac:dyDescent="0.2">
      <c r="A119" s="113" t="s">
        <v>604</v>
      </c>
      <c r="B119" s="114">
        <v>1616</v>
      </c>
      <c r="C119" s="113" t="s">
        <v>919</v>
      </c>
      <c r="D119" s="113" t="s">
        <v>880</v>
      </c>
      <c r="E119" s="115">
        <v>1000</v>
      </c>
      <c r="F119" s="115">
        <v>1026</v>
      </c>
      <c r="G119" s="115">
        <v>1026</v>
      </c>
      <c r="H119" s="115">
        <v>1026</v>
      </c>
      <c r="I119" s="115">
        <v>1026</v>
      </c>
      <c r="J119" s="115">
        <v>1214</v>
      </c>
      <c r="K119" s="115">
        <v>1214</v>
      </c>
      <c r="L119" s="115">
        <v>1214</v>
      </c>
      <c r="M119" s="115">
        <v>1214</v>
      </c>
      <c r="N119" s="115">
        <v>711</v>
      </c>
      <c r="O119" s="115">
        <v>1005.6759045207405</v>
      </c>
      <c r="P119" s="115">
        <v>1009.0501916754999</v>
      </c>
      <c r="Q119" s="116">
        <v>1004.038352975125</v>
      </c>
      <c r="R119" s="116">
        <v>1004</v>
      </c>
      <c r="S119" s="116">
        <v>1005</v>
      </c>
      <c r="T119" s="116" t="s">
        <v>868</v>
      </c>
      <c r="U119" s="116">
        <v>1005</v>
      </c>
      <c r="V119" s="116" t="s">
        <v>868</v>
      </c>
      <c r="W119" s="128" t="s">
        <v>868</v>
      </c>
      <c r="X119" s="128" t="s">
        <v>868</v>
      </c>
      <c r="Y119" s="128" t="s">
        <v>868</v>
      </c>
      <c r="Z119" s="128" t="s">
        <v>868</v>
      </c>
      <c r="AA119" s="151" t="s">
        <v>868</v>
      </c>
    </row>
    <row r="120" spans="1:27" ht="15" x14ac:dyDescent="0.2">
      <c r="A120" s="113" t="s">
        <v>604</v>
      </c>
      <c r="B120" s="114">
        <v>1625</v>
      </c>
      <c r="C120" s="113" t="s">
        <v>920</v>
      </c>
      <c r="D120" s="113" t="s">
        <v>880</v>
      </c>
      <c r="E120" s="115">
        <v>813</v>
      </c>
      <c r="F120" s="115">
        <v>1881</v>
      </c>
      <c r="G120" s="115">
        <v>1881</v>
      </c>
      <c r="H120" s="115">
        <v>1840</v>
      </c>
      <c r="I120" s="115">
        <v>1840</v>
      </c>
      <c r="J120" s="115">
        <v>1840</v>
      </c>
      <c r="K120" s="115">
        <v>1840</v>
      </c>
      <c r="L120" s="115">
        <v>1494</v>
      </c>
      <c r="M120" s="115">
        <v>1627</v>
      </c>
      <c r="N120" s="115">
        <v>1499</v>
      </c>
      <c r="O120" s="115">
        <v>1494</v>
      </c>
      <c r="P120" s="115">
        <v>1491.6061074530537</v>
      </c>
      <c r="Q120" s="116">
        <v>1447.8741512625775</v>
      </c>
      <c r="R120" s="116">
        <v>1448</v>
      </c>
      <c r="S120" s="116">
        <v>1448</v>
      </c>
      <c r="T120" s="116">
        <v>1448</v>
      </c>
      <c r="U120" s="116">
        <v>1447.8741512625775</v>
      </c>
      <c r="V120" s="116">
        <v>1447.8741512625775</v>
      </c>
      <c r="W120" s="128">
        <v>1447.8741512625775</v>
      </c>
      <c r="X120" s="128">
        <v>1447.8741274030713</v>
      </c>
      <c r="Y120" s="128">
        <v>1448</v>
      </c>
      <c r="Z120" s="128">
        <v>1448</v>
      </c>
      <c r="AA120" s="151">
        <v>1550.5014808175531</v>
      </c>
    </row>
    <row r="121" spans="1:27" ht="15" x14ac:dyDescent="0.2">
      <c r="A121" s="113" t="s">
        <v>604</v>
      </c>
      <c r="B121" s="114">
        <v>2332</v>
      </c>
      <c r="C121" s="113" t="s">
        <v>620</v>
      </c>
      <c r="D121" s="113" t="s">
        <v>880</v>
      </c>
      <c r="E121" s="115">
        <v>1825</v>
      </c>
      <c r="F121" s="115">
        <v>2400</v>
      </c>
      <c r="G121" s="115">
        <v>2408</v>
      </c>
      <c r="H121" s="115">
        <v>2408</v>
      </c>
      <c r="I121" s="115">
        <v>2408</v>
      </c>
      <c r="J121" s="115">
        <v>2408</v>
      </c>
      <c r="K121" s="115">
        <v>1500</v>
      </c>
      <c r="L121" s="115">
        <v>1750</v>
      </c>
      <c r="M121" s="115">
        <v>2200</v>
      </c>
      <c r="N121" s="115">
        <v>1929</v>
      </c>
      <c r="O121" s="115">
        <v>1712.1879572089254</v>
      </c>
      <c r="P121" s="115">
        <v>1769.9271293849754</v>
      </c>
      <c r="Q121" s="116">
        <v>1744.0612773554087</v>
      </c>
      <c r="R121" s="116">
        <v>1777</v>
      </c>
      <c r="S121" s="116">
        <v>1784</v>
      </c>
      <c r="T121" s="116">
        <v>1806</v>
      </c>
      <c r="U121" s="116">
        <v>1887</v>
      </c>
      <c r="V121" s="116">
        <v>1761.1456394371407</v>
      </c>
      <c r="W121" s="128">
        <v>1996.6734017221593</v>
      </c>
      <c r="X121" s="128">
        <v>1892.6499178643321</v>
      </c>
      <c r="Y121" s="128">
        <v>1968</v>
      </c>
      <c r="Z121" s="128">
        <v>2030</v>
      </c>
      <c r="AA121" s="151">
        <v>2560.1027708058282</v>
      </c>
    </row>
    <row r="122" spans="1:27" ht="15" x14ac:dyDescent="0.2">
      <c r="A122" s="113" t="s">
        <v>604</v>
      </c>
      <c r="B122" s="114">
        <v>3415</v>
      </c>
      <c r="C122" s="113" t="s">
        <v>921</v>
      </c>
      <c r="D122" s="113" t="s">
        <v>880</v>
      </c>
      <c r="E122" s="115">
        <v>710</v>
      </c>
      <c r="F122" s="115">
        <v>710</v>
      </c>
      <c r="G122" s="115">
        <v>700</v>
      </c>
      <c r="H122" s="115">
        <v>700</v>
      </c>
      <c r="I122" s="115">
        <v>700</v>
      </c>
      <c r="J122" s="115">
        <v>700</v>
      </c>
      <c r="K122" s="115">
        <v>700</v>
      </c>
      <c r="L122" s="115">
        <v>700</v>
      </c>
      <c r="M122" s="115">
        <v>1041</v>
      </c>
      <c r="N122" s="115">
        <v>1134</v>
      </c>
      <c r="O122" s="115">
        <v>910.0243635479801</v>
      </c>
      <c r="P122" s="115">
        <v>912.08203133889197</v>
      </c>
      <c r="Q122" s="116">
        <v>912.08203133889197</v>
      </c>
      <c r="R122" s="116">
        <v>914</v>
      </c>
      <c r="S122" s="116">
        <v>929</v>
      </c>
      <c r="T122" s="116">
        <v>929</v>
      </c>
      <c r="U122" s="116">
        <v>928.63183568764384</v>
      </c>
      <c r="V122" s="116">
        <v>1005.0116964591563</v>
      </c>
      <c r="W122" s="128">
        <v>1005.0116704151069</v>
      </c>
      <c r="X122" s="128" t="s">
        <v>868</v>
      </c>
      <c r="Y122" s="128" t="s">
        <v>868</v>
      </c>
      <c r="Z122" s="128" t="s">
        <v>868</v>
      </c>
      <c r="AA122" s="151" t="s">
        <v>868</v>
      </c>
    </row>
    <row r="123" spans="1:27" ht="15" x14ac:dyDescent="0.2">
      <c r="A123" s="113" t="s">
        <v>604</v>
      </c>
      <c r="B123" s="114">
        <v>4005</v>
      </c>
      <c r="C123" s="113" t="s">
        <v>922</v>
      </c>
      <c r="D123" s="113" t="s">
        <v>880</v>
      </c>
      <c r="E123" s="115">
        <v>1927</v>
      </c>
      <c r="F123" s="115">
        <v>1927</v>
      </c>
      <c r="G123" s="115">
        <v>2446</v>
      </c>
      <c r="H123" s="115">
        <v>2446</v>
      </c>
      <c r="I123" s="115">
        <v>2012</v>
      </c>
      <c r="J123" s="115">
        <v>1932</v>
      </c>
      <c r="K123" s="115">
        <v>2061</v>
      </c>
      <c r="L123" s="115">
        <v>2229</v>
      </c>
      <c r="M123" s="115">
        <v>2454</v>
      </c>
      <c r="N123" s="115">
        <v>2454</v>
      </c>
      <c r="O123" s="115">
        <v>2544</v>
      </c>
      <c r="P123" s="115">
        <v>2585.8232969125006</v>
      </c>
      <c r="Q123" s="116">
        <v>2585.8232969125006</v>
      </c>
      <c r="R123" s="116">
        <v>2586</v>
      </c>
      <c r="S123" s="116">
        <v>2586</v>
      </c>
      <c r="T123" s="116">
        <v>2584</v>
      </c>
      <c r="U123" s="116">
        <v>2584</v>
      </c>
      <c r="V123" s="116">
        <v>2587.3005110125005</v>
      </c>
      <c r="W123" s="128">
        <v>2597.5176426846874</v>
      </c>
      <c r="X123" s="128">
        <v>2605.2006502248651</v>
      </c>
      <c r="Y123" s="128">
        <v>2705</v>
      </c>
      <c r="Z123" s="128">
        <v>2725</v>
      </c>
      <c r="AA123" s="151">
        <v>2549.9374704153315</v>
      </c>
    </row>
    <row r="124" spans="1:27" ht="15" x14ac:dyDescent="0.2">
      <c r="A124" s="113" t="s">
        <v>604</v>
      </c>
      <c r="B124" s="114">
        <v>4607</v>
      </c>
      <c r="C124" s="113" t="s">
        <v>633</v>
      </c>
      <c r="D124" s="113" t="s">
        <v>880</v>
      </c>
      <c r="E124" s="115">
        <v>43513</v>
      </c>
      <c r="F124" s="115">
        <v>41508</v>
      </c>
      <c r="G124" s="115">
        <v>42598</v>
      </c>
      <c r="H124" s="115">
        <v>42598</v>
      </c>
      <c r="I124" s="115">
        <v>65766</v>
      </c>
      <c r="J124" s="115">
        <v>69954</v>
      </c>
      <c r="K124" s="115">
        <v>71262</v>
      </c>
      <c r="L124" s="115">
        <v>71789</v>
      </c>
      <c r="M124" s="115">
        <v>73926</v>
      </c>
      <c r="N124" s="115">
        <v>71886</v>
      </c>
      <c r="O124" s="115">
        <v>67066</v>
      </c>
      <c r="P124" s="115">
        <v>67453.058402662136</v>
      </c>
      <c r="Q124" s="116">
        <v>78530.37199403574</v>
      </c>
      <c r="R124" s="116">
        <v>77472</v>
      </c>
      <c r="S124" s="116">
        <v>79514</v>
      </c>
      <c r="T124" s="116">
        <v>81135</v>
      </c>
      <c r="U124" s="116">
        <v>83594.299298388956</v>
      </c>
      <c r="V124" s="116">
        <v>82464.929654546155</v>
      </c>
      <c r="W124" s="128">
        <v>84440.214802437491</v>
      </c>
      <c r="X124" s="128">
        <v>86816.524424603675</v>
      </c>
      <c r="Y124" s="128">
        <v>82004</v>
      </c>
      <c r="Z124" s="128">
        <v>86106</v>
      </c>
      <c r="AA124" s="151">
        <v>86465.275438432189</v>
      </c>
    </row>
    <row r="125" spans="1:27" ht="15" x14ac:dyDescent="0.2">
      <c r="A125" s="113" t="s">
        <v>604</v>
      </c>
      <c r="B125" s="114">
        <v>4658</v>
      </c>
      <c r="C125" s="113" t="s">
        <v>635</v>
      </c>
      <c r="D125" s="113" t="s">
        <v>880</v>
      </c>
      <c r="E125" s="115">
        <v>19250</v>
      </c>
      <c r="F125" s="115">
        <v>19493</v>
      </c>
      <c r="G125" s="115">
        <v>17868</v>
      </c>
      <c r="H125" s="115">
        <v>18500</v>
      </c>
      <c r="I125" s="115">
        <v>20140</v>
      </c>
      <c r="J125" s="115">
        <v>20453</v>
      </c>
      <c r="K125" s="115">
        <v>21837</v>
      </c>
      <c r="L125" s="115">
        <v>20892</v>
      </c>
      <c r="M125" s="115">
        <v>20892</v>
      </c>
      <c r="N125" s="115">
        <v>20120</v>
      </c>
      <c r="O125" s="115">
        <v>20909</v>
      </c>
      <c r="P125" s="115">
        <v>20569.716740154003</v>
      </c>
      <c r="Q125" s="116">
        <v>20750.170759182685</v>
      </c>
      <c r="R125" s="116">
        <v>20808</v>
      </c>
      <c r="S125" s="116">
        <v>21396</v>
      </c>
      <c r="T125" s="116">
        <v>21632</v>
      </c>
      <c r="U125" s="116">
        <v>22303</v>
      </c>
      <c r="V125" s="116">
        <v>22263.29461686522</v>
      </c>
      <c r="W125" s="128">
        <v>22413.966521197868</v>
      </c>
      <c r="X125" s="128">
        <v>22590.628065004876</v>
      </c>
      <c r="Y125" s="128">
        <v>25316</v>
      </c>
      <c r="Z125" s="128">
        <v>25584</v>
      </c>
      <c r="AA125" s="151">
        <v>25466.898525138542</v>
      </c>
    </row>
    <row r="126" spans="1:27" ht="15" x14ac:dyDescent="0.2">
      <c r="A126" s="113" t="s">
        <v>604</v>
      </c>
      <c r="B126" s="114">
        <v>4912</v>
      </c>
      <c r="C126" s="113" t="s">
        <v>923</v>
      </c>
      <c r="D126" s="113" t="s">
        <v>880</v>
      </c>
      <c r="E126" s="115">
        <v>155567</v>
      </c>
      <c r="F126" s="115">
        <v>155143</v>
      </c>
      <c r="G126" s="115">
        <v>163034</v>
      </c>
      <c r="H126" s="115">
        <v>164146</v>
      </c>
      <c r="I126" s="115">
        <v>166345</v>
      </c>
      <c r="J126" s="115">
        <v>170020</v>
      </c>
      <c r="K126" s="115">
        <v>180080</v>
      </c>
      <c r="L126" s="115">
        <v>164393</v>
      </c>
      <c r="M126" s="115">
        <v>163872</v>
      </c>
      <c r="N126" s="115">
        <v>163213</v>
      </c>
      <c r="O126" s="115">
        <v>167777</v>
      </c>
      <c r="P126" s="115">
        <v>170539.76179057814</v>
      </c>
      <c r="Q126" s="116">
        <v>171790</v>
      </c>
      <c r="R126" s="116">
        <v>169451</v>
      </c>
      <c r="S126" s="116">
        <v>172144</v>
      </c>
      <c r="T126" s="116">
        <v>173842</v>
      </c>
      <c r="U126" s="116">
        <v>178114.48463810573</v>
      </c>
      <c r="V126" s="116">
        <v>180792</v>
      </c>
      <c r="W126" s="128">
        <v>183547</v>
      </c>
      <c r="X126" s="128">
        <v>184612.36583338919</v>
      </c>
      <c r="Y126" s="128">
        <v>185394</v>
      </c>
      <c r="Z126" s="128">
        <v>193297</v>
      </c>
      <c r="AA126" s="151">
        <v>197050.82891978216</v>
      </c>
    </row>
    <row r="127" spans="1:27" ht="15" x14ac:dyDescent="0.2">
      <c r="A127" s="113" t="s">
        <v>604</v>
      </c>
      <c r="B127" s="114">
        <v>21107</v>
      </c>
      <c r="C127" s="113" t="s">
        <v>924</v>
      </c>
      <c r="D127" s="113" t="s">
        <v>880</v>
      </c>
      <c r="E127" s="115">
        <v>3536</v>
      </c>
      <c r="F127" s="115">
        <v>2355</v>
      </c>
      <c r="G127" s="115">
        <v>2740</v>
      </c>
      <c r="H127" s="115">
        <v>2740</v>
      </c>
      <c r="I127" s="115">
        <v>3140</v>
      </c>
      <c r="J127" s="115">
        <v>4280</v>
      </c>
      <c r="K127" s="115">
        <v>6945</v>
      </c>
      <c r="L127" s="115">
        <v>2855</v>
      </c>
      <c r="M127" s="115">
        <v>2951</v>
      </c>
      <c r="N127" s="115">
        <v>2171</v>
      </c>
      <c r="O127" s="115">
        <v>1872.0659491323238</v>
      </c>
      <c r="P127" s="115">
        <v>2713.8078123179253</v>
      </c>
      <c r="Q127" s="116">
        <v>3198.1631685889502</v>
      </c>
      <c r="R127" s="116">
        <v>2721</v>
      </c>
      <c r="S127" s="116">
        <v>3001</v>
      </c>
      <c r="T127" s="116">
        <v>2715</v>
      </c>
      <c r="U127" s="116">
        <v>2716.1880501179253</v>
      </c>
      <c r="V127" s="116">
        <v>2713.7677233179252</v>
      </c>
      <c r="W127" s="128">
        <v>2712.249532583508</v>
      </c>
      <c r="X127" s="128">
        <v>2713.7530674493141</v>
      </c>
      <c r="Y127" s="128">
        <v>2712</v>
      </c>
      <c r="Z127" s="128">
        <v>2475</v>
      </c>
      <c r="AA127" s="151">
        <v>2574.4503464907366</v>
      </c>
    </row>
    <row r="128" spans="1:27" ht="15" x14ac:dyDescent="0.2">
      <c r="A128" s="113" t="s">
        <v>604</v>
      </c>
      <c r="B128" s="114">
        <v>5750</v>
      </c>
      <c r="C128" s="113" t="s">
        <v>641</v>
      </c>
      <c r="D128" s="113" t="s">
        <v>880</v>
      </c>
      <c r="E128" s="115">
        <v>4067</v>
      </c>
      <c r="F128" s="115">
        <v>4118</v>
      </c>
      <c r="G128" s="115">
        <v>4118.2442000000001</v>
      </c>
      <c r="H128" s="115">
        <v>4118</v>
      </c>
      <c r="I128" s="115">
        <v>3978</v>
      </c>
      <c r="J128" s="115">
        <v>4062</v>
      </c>
      <c r="K128" s="115">
        <v>4846</v>
      </c>
      <c r="L128" s="115">
        <v>5057</v>
      </c>
      <c r="M128" s="115">
        <v>5043</v>
      </c>
      <c r="N128" s="115">
        <v>5106</v>
      </c>
      <c r="O128" s="115">
        <v>4929</v>
      </c>
      <c r="P128" s="115">
        <v>5006.2655661997951</v>
      </c>
      <c r="Q128" s="116">
        <v>5513.0124634415233</v>
      </c>
      <c r="R128" s="116">
        <v>6042</v>
      </c>
      <c r="S128" s="116">
        <v>6248</v>
      </c>
      <c r="T128" s="116">
        <v>7081</v>
      </c>
      <c r="U128" s="116">
        <v>8561.8507052203495</v>
      </c>
      <c r="V128" s="116">
        <v>9193</v>
      </c>
      <c r="W128" s="128">
        <v>10276</v>
      </c>
      <c r="X128" s="128">
        <v>11393</v>
      </c>
      <c r="Y128" s="128">
        <v>13239</v>
      </c>
      <c r="Z128" s="128">
        <v>14242</v>
      </c>
      <c r="AA128" s="151">
        <v>16089.748928045172</v>
      </c>
    </row>
    <row r="129" spans="1:27" ht="15" x14ac:dyDescent="0.2">
      <c r="A129" s="113" t="s">
        <v>604</v>
      </c>
      <c r="B129" s="114">
        <v>5868</v>
      </c>
      <c r="C129" s="113" t="s">
        <v>642</v>
      </c>
      <c r="D129" s="113" t="s">
        <v>880</v>
      </c>
      <c r="E129" s="115">
        <v>0</v>
      </c>
      <c r="F129" s="115">
        <v>0</v>
      </c>
      <c r="G129" s="115">
        <v>0</v>
      </c>
      <c r="H129" s="115">
        <v>0</v>
      </c>
      <c r="I129" s="115">
        <v>0</v>
      </c>
      <c r="J129" s="115">
        <v>0</v>
      </c>
      <c r="K129" s="115">
        <v>0</v>
      </c>
      <c r="L129" s="115">
        <v>0</v>
      </c>
      <c r="M129" s="115">
        <v>0</v>
      </c>
      <c r="N129" s="115">
        <v>0</v>
      </c>
      <c r="O129" s="115">
        <v>0</v>
      </c>
      <c r="P129" s="115">
        <v>0</v>
      </c>
      <c r="Q129" s="115">
        <v>0</v>
      </c>
      <c r="R129" s="115">
        <v>0</v>
      </c>
      <c r="S129" s="115">
        <v>0</v>
      </c>
      <c r="T129" s="115">
        <v>0</v>
      </c>
      <c r="U129" s="116">
        <v>991</v>
      </c>
      <c r="V129" s="116">
        <v>1042</v>
      </c>
      <c r="W129" s="128">
        <v>989</v>
      </c>
      <c r="X129" s="128">
        <v>989.45025879842365</v>
      </c>
      <c r="Y129" s="128">
        <v>989</v>
      </c>
      <c r="Z129" s="128">
        <v>989</v>
      </c>
      <c r="AA129" s="151">
        <v>851.67961914285252</v>
      </c>
    </row>
    <row r="130" spans="1:27" ht="15" x14ac:dyDescent="0.2">
      <c r="A130" s="113" t="s">
        <v>604</v>
      </c>
      <c r="B130" s="114">
        <v>5870</v>
      </c>
      <c r="C130" s="113" t="s">
        <v>644</v>
      </c>
      <c r="D130" s="113" t="s">
        <v>880</v>
      </c>
      <c r="E130" s="115">
        <v>3684</v>
      </c>
      <c r="F130" s="115">
        <v>4100</v>
      </c>
      <c r="G130" s="115">
        <v>4100</v>
      </c>
      <c r="H130" s="115">
        <v>4100</v>
      </c>
      <c r="I130" s="115">
        <v>4100</v>
      </c>
      <c r="J130" s="115">
        <v>3836</v>
      </c>
      <c r="K130" s="115">
        <v>3918</v>
      </c>
      <c r="L130" s="115">
        <v>3078</v>
      </c>
      <c r="M130" s="115">
        <v>3192</v>
      </c>
      <c r="N130" s="115">
        <v>3189</v>
      </c>
      <c r="O130" s="115">
        <v>2983</v>
      </c>
      <c r="P130" s="115">
        <v>3299.5366981491497</v>
      </c>
      <c r="Q130" s="116">
        <v>3282.8609291578259</v>
      </c>
      <c r="R130" s="116">
        <v>3297</v>
      </c>
      <c r="S130" s="116">
        <v>3285</v>
      </c>
      <c r="T130" s="116">
        <v>3285</v>
      </c>
      <c r="U130" s="116">
        <v>3209</v>
      </c>
      <c r="V130" s="116">
        <v>3219.7723489803602</v>
      </c>
      <c r="W130" s="128">
        <v>3615.7919974724769</v>
      </c>
      <c r="X130" s="128">
        <v>3687.8827425064724</v>
      </c>
      <c r="Y130" s="128">
        <v>3954</v>
      </c>
      <c r="Z130" s="128">
        <v>4062</v>
      </c>
      <c r="AA130" s="151">
        <v>3666.6170440194051</v>
      </c>
    </row>
    <row r="131" spans="1:27" ht="15" x14ac:dyDescent="0.2">
      <c r="A131" s="113" t="s">
        <v>604</v>
      </c>
      <c r="B131" s="114">
        <v>5893</v>
      </c>
      <c r="C131" s="113" t="s">
        <v>925</v>
      </c>
      <c r="D131" s="113" t="s">
        <v>880</v>
      </c>
      <c r="E131" s="115">
        <v>4194</v>
      </c>
      <c r="F131" s="115">
        <v>3289</v>
      </c>
      <c r="G131" s="115">
        <v>3289</v>
      </c>
      <c r="H131" s="115">
        <v>3289</v>
      </c>
      <c r="I131" s="115">
        <v>3728</v>
      </c>
      <c r="J131" s="115">
        <v>3728</v>
      </c>
      <c r="K131" s="115">
        <v>4117</v>
      </c>
      <c r="L131" s="115">
        <v>3758</v>
      </c>
      <c r="M131" s="115">
        <v>3758</v>
      </c>
      <c r="N131" s="115">
        <v>4661</v>
      </c>
      <c r="O131" s="115">
        <v>5048</v>
      </c>
      <c r="P131" s="115">
        <v>4441</v>
      </c>
      <c r="Q131" s="116">
        <v>5626.1296694288021</v>
      </c>
      <c r="R131" s="116">
        <v>5463</v>
      </c>
      <c r="S131" s="116">
        <v>3890</v>
      </c>
      <c r="T131" s="116">
        <v>5169</v>
      </c>
      <c r="U131" s="116">
        <v>5936.6670119323953</v>
      </c>
      <c r="V131" s="116">
        <v>6028.7424404323956</v>
      </c>
      <c r="W131" s="128">
        <v>6029</v>
      </c>
      <c r="X131" s="128">
        <v>6313.4441185997066</v>
      </c>
      <c r="Y131" s="128">
        <v>7483</v>
      </c>
      <c r="Z131" s="128">
        <v>6966</v>
      </c>
      <c r="AA131" s="151">
        <v>6985.3865242540214</v>
      </c>
    </row>
    <row r="132" spans="1:27" ht="15" x14ac:dyDescent="0.2">
      <c r="A132" s="113" t="s">
        <v>604</v>
      </c>
      <c r="B132" s="114">
        <v>6124</v>
      </c>
      <c r="C132" s="113" t="s">
        <v>648</v>
      </c>
      <c r="D132" s="113" t="s">
        <v>880</v>
      </c>
      <c r="E132" s="115">
        <v>3409</v>
      </c>
      <c r="F132" s="115">
        <v>3325</v>
      </c>
      <c r="G132" s="115">
        <v>4878</v>
      </c>
      <c r="H132" s="115">
        <v>4878</v>
      </c>
      <c r="I132" s="115">
        <v>4878</v>
      </c>
      <c r="J132" s="115">
        <v>5379</v>
      </c>
      <c r="K132" s="115">
        <v>5379</v>
      </c>
      <c r="L132" s="115">
        <v>5379</v>
      </c>
      <c r="M132" s="115">
        <v>4134</v>
      </c>
      <c r="N132" s="115">
        <v>4331</v>
      </c>
      <c r="O132" s="115">
        <v>4826</v>
      </c>
      <c r="P132" s="115">
        <v>5525.8259286623788</v>
      </c>
      <c r="Q132" s="116">
        <v>5186.7555232407849</v>
      </c>
      <c r="R132" s="116">
        <v>4826</v>
      </c>
      <c r="S132" s="116">
        <v>4905</v>
      </c>
      <c r="T132" s="116">
        <v>4609</v>
      </c>
      <c r="U132" s="116">
        <v>4906.3035103482698</v>
      </c>
      <c r="V132" s="116">
        <v>4630.6854832348836</v>
      </c>
      <c r="W132" s="128">
        <v>4769.1740471891808</v>
      </c>
      <c r="X132" s="128">
        <v>4802.7394200884555</v>
      </c>
      <c r="Y132" s="128">
        <v>4855</v>
      </c>
      <c r="Z132" s="128">
        <v>5075</v>
      </c>
      <c r="AA132" s="151">
        <v>4986.2533541697558</v>
      </c>
    </row>
    <row r="133" spans="1:27" ht="15" x14ac:dyDescent="0.2">
      <c r="A133" s="113" t="s">
        <v>604</v>
      </c>
      <c r="B133" s="114">
        <v>6174</v>
      </c>
      <c r="C133" s="113" t="s">
        <v>926</v>
      </c>
      <c r="D133" s="113" t="s">
        <v>880</v>
      </c>
      <c r="E133" s="115" t="s">
        <v>954</v>
      </c>
      <c r="F133" s="115">
        <v>1784</v>
      </c>
      <c r="G133" s="115">
        <v>1808</v>
      </c>
      <c r="H133" s="115">
        <v>1600</v>
      </c>
      <c r="I133" s="115">
        <v>1361</v>
      </c>
      <c r="J133" s="115">
        <v>1064</v>
      </c>
      <c r="K133" s="115">
        <v>1423</v>
      </c>
      <c r="L133" s="115">
        <v>706</v>
      </c>
      <c r="M133" s="115">
        <v>706</v>
      </c>
      <c r="N133" s="115">
        <v>1396</v>
      </c>
      <c r="O133" s="115">
        <v>619</v>
      </c>
      <c r="P133" s="115">
        <v>1331.75533194225</v>
      </c>
      <c r="Q133" s="116">
        <v>1331.75533194225</v>
      </c>
      <c r="R133" s="116">
        <v>1332</v>
      </c>
      <c r="S133" s="116">
        <v>1350</v>
      </c>
      <c r="T133" s="116">
        <v>1332</v>
      </c>
      <c r="U133" s="116">
        <v>1331.75533194225</v>
      </c>
      <c r="V133" s="116">
        <v>1331.75533194225</v>
      </c>
      <c r="W133" s="128">
        <v>1331.75533194225</v>
      </c>
      <c r="X133" s="128">
        <v>1331.755322295262</v>
      </c>
      <c r="Y133" s="128">
        <v>1332</v>
      </c>
      <c r="Z133" s="128">
        <v>1332</v>
      </c>
      <c r="AA133" s="151">
        <v>1266.6708630843527</v>
      </c>
    </row>
    <row r="134" spans="1:27" ht="15" x14ac:dyDescent="0.2">
      <c r="A134" s="113" t="s">
        <v>604</v>
      </c>
      <c r="B134" s="114">
        <v>6505</v>
      </c>
      <c r="C134" s="113" t="s">
        <v>927</v>
      </c>
      <c r="D134" s="113" t="s">
        <v>880</v>
      </c>
      <c r="E134" s="115">
        <v>22902</v>
      </c>
      <c r="F134" s="115">
        <v>20373</v>
      </c>
      <c r="G134" s="115">
        <v>21788</v>
      </c>
      <c r="H134" s="115">
        <v>22203</v>
      </c>
      <c r="I134" s="115">
        <v>23100</v>
      </c>
      <c r="J134" s="115">
        <v>25216</v>
      </c>
      <c r="K134" s="115">
        <v>27502</v>
      </c>
      <c r="L134" s="115">
        <v>29373</v>
      </c>
      <c r="M134" s="115">
        <v>29373</v>
      </c>
      <c r="N134" s="115">
        <v>29785</v>
      </c>
      <c r="O134" s="115">
        <v>30534</v>
      </c>
      <c r="P134" s="115">
        <v>30759.740681846684</v>
      </c>
      <c r="Q134" s="116">
        <v>31198.093993057475</v>
      </c>
      <c r="R134" s="116">
        <v>31489</v>
      </c>
      <c r="S134" s="116">
        <v>32360</v>
      </c>
      <c r="T134" s="116">
        <v>31844</v>
      </c>
      <c r="U134" s="116">
        <v>32092.381141285241</v>
      </c>
      <c r="V134" s="116">
        <v>32286.929172094697</v>
      </c>
      <c r="W134" s="128">
        <v>32709.991124413889</v>
      </c>
      <c r="X134" s="128">
        <v>33339.524883004829</v>
      </c>
      <c r="Y134" s="128">
        <v>34205</v>
      </c>
      <c r="Z134" s="128">
        <v>35012</v>
      </c>
      <c r="AA134" s="151">
        <v>35798</v>
      </c>
    </row>
    <row r="135" spans="1:27" ht="15" x14ac:dyDescent="0.2">
      <c r="A135" s="113" t="s">
        <v>604</v>
      </c>
      <c r="B135" s="114">
        <v>6506</v>
      </c>
      <c r="C135" s="113" t="s">
        <v>927</v>
      </c>
      <c r="D135" s="113" t="s">
        <v>880</v>
      </c>
      <c r="E135" s="115">
        <v>22895</v>
      </c>
      <c r="F135" s="115">
        <v>24127</v>
      </c>
      <c r="G135" s="115">
        <v>25519</v>
      </c>
      <c r="H135" s="115">
        <v>27847</v>
      </c>
      <c r="I135" s="115">
        <v>29447</v>
      </c>
      <c r="J135" s="115">
        <v>32114</v>
      </c>
      <c r="K135" s="115">
        <v>33994</v>
      </c>
      <c r="L135" s="115">
        <v>34072</v>
      </c>
      <c r="M135" s="115">
        <v>34072</v>
      </c>
      <c r="N135" s="115">
        <v>37008</v>
      </c>
      <c r="O135" s="115">
        <v>39230</v>
      </c>
      <c r="P135" s="115">
        <v>39142</v>
      </c>
      <c r="Q135" s="116">
        <v>39722.55361702721</v>
      </c>
      <c r="R135" s="116">
        <v>40181</v>
      </c>
      <c r="S135" s="116">
        <v>40639</v>
      </c>
      <c r="T135" s="116">
        <v>41297</v>
      </c>
      <c r="U135" s="116">
        <v>42009.587375491552</v>
      </c>
      <c r="V135" s="116">
        <v>44462.757504128123</v>
      </c>
      <c r="W135" s="128">
        <v>43965.080941065993</v>
      </c>
      <c r="X135" s="128">
        <v>45112.765863446984</v>
      </c>
      <c r="Y135" s="128">
        <v>45859</v>
      </c>
      <c r="Z135" s="128">
        <v>45177</v>
      </c>
      <c r="AA135" s="151">
        <v>45141</v>
      </c>
    </row>
    <row r="136" spans="1:27" ht="15" x14ac:dyDescent="0.2">
      <c r="A136" s="113" t="s">
        <v>604</v>
      </c>
      <c r="B136" s="114">
        <v>6507</v>
      </c>
      <c r="C136" s="113" t="s">
        <v>927</v>
      </c>
      <c r="D136" s="113" t="s">
        <v>880</v>
      </c>
      <c r="E136" s="115" t="s">
        <v>954</v>
      </c>
      <c r="F136" s="115" t="s">
        <v>954</v>
      </c>
      <c r="G136" s="115" t="s">
        <v>954</v>
      </c>
      <c r="H136" s="115" t="s">
        <v>954</v>
      </c>
      <c r="I136" s="115" t="s">
        <v>954</v>
      </c>
      <c r="J136" s="115" t="s">
        <v>954</v>
      </c>
      <c r="K136" s="115" t="s">
        <v>954</v>
      </c>
      <c r="L136" s="115" t="s">
        <v>954</v>
      </c>
      <c r="M136" s="115" t="s">
        <v>954</v>
      </c>
      <c r="N136" s="115" t="s">
        <v>954</v>
      </c>
      <c r="O136" s="115">
        <v>13779</v>
      </c>
      <c r="P136" s="115">
        <v>13746.063138274205</v>
      </c>
      <c r="Q136" s="116">
        <v>13806.557915037964</v>
      </c>
      <c r="R136" s="116">
        <v>13884</v>
      </c>
      <c r="S136" s="116">
        <v>13977</v>
      </c>
      <c r="T136" s="116">
        <v>13983</v>
      </c>
      <c r="U136" s="116">
        <v>14230.022016778596</v>
      </c>
      <c r="V136" s="116">
        <v>14418.483095060417</v>
      </c>
      <c r="W136" s="128">
        <v>14660.447905779198</v>
      </c>
      <c r="X136" s="128">
        <v>14660.457989295097</v>
      </c>
      <c r="Y136" s="128">
        <v>15108</v>
      </c>
      <c r="Z136" s="128">
        <v>15109</v>
      </c>
      <c r="AA136" s="151">
        <v>15690.67141192827</v>
      </c>
    </row>
    <row r="137" spans="1:27" ht="15" x14ac:dyDescent="0.2">
      <c r="A137" s="113" t="s">
        <v>604</v>
      </c>
      <c r="B137" s="114">
        <v>6508</v>
      </c>
      <c r="C137" s="113" t="s">
        <v>927</v>
      </c>
      <c r="D137" s="113" t="s">
        <v>880</v>
      </c>
      <c r="E137" s="115">
        <v>4445</v>
      </c>
      <c r="F137" s="115">
        <v>4567</v>
      </c>
      <c r="G137" s="115">
        <v>5294</v>
      </c>
      <c r="H137" s="115">
        <v>5294</v>
      </c>
      <c r="I137" s="115">
        <v>5900</v>
      </c>
      <c r="J137" s="115">
        <v>5972</v>
      </c>
      <c r="K137" s="115">
        <v>5972</v>
      </c>
      <c r="L137" s="115">
        <v>4270</v>
      </c>
      <c r="M137" s="115">
        <v>4270</v>
      </c>
      <c r="N137" s="115">
        <v>4172</v>
      </c>
      <c r="O137" s="115">
        <v>4674</v>
      </c>
      <c r="P137" s="115">
        <v>4159</v>
      </c>
      <c r="Q137" s="116">
        <v>4946.2441495858138</v>
      </c>
      <c r="R137" s="116">
        <v>4960</v>
      </c>
      <c r="S137" s="116">
        <v>4998</v>
      </c>
      <c r="T137" s="116">
        <v>4998</v>
      </c>
      <c r="U137" s="116">
        <v>5312.3395525966935</v>
      </c>
      <c r="V137" s="116">
        <v>5344.4335858540699</v>
      </c>
      <c r="W137" s="128">
        <v>5356.5275193162652</v>
      </c>
      <c r="X137" s="128">
        <v>5071.9028888100556</v>
      </c>
      <c r="Y137" s="128">
        <v>5058</v>
      </c>
      <c r="Z137" s="128">
        <v>5097</v>
      </c>
      <c r="AA137" s="151">
        <v>5005.9122033916301</v>
      </c>
    </row>
    <row r="138" spans="1:27" ht="15" x14ac:dyDescent="0.2">
      <c r="A138" s="113" t="s">
        <v>604</v>
      </c>
      <c r="B138" s="114">
        <v>6509</v>
      </c>
      <c r="C138" s="113" t="s">
        <v>927</v>
      </c>
      <c r="D138" s="113" t="s">
        <v>880</v>
      </c>
      <c r="E138" s="115" t="s">
        <v>954</v>
      </c>
      <c r="F138" s="115" t="s">
        <v>954</v>
      </c>
      <c r="G138" s="115" t="s">
        <v>954</v>
      </c>
      <c r="H138" s="115" t="s">
        <v>954</v>
      </c>
      <c r="I138" s="115" t="s">
        <v>954</v>
      </c>
      <c r="J138" s="115" t="s">
        <v>954</v>
      </c>
      <c r="K138" s="115" t="s">
        <v>954</v>
      </c>
      <c r="L138" s="115" t="s">
        <v>954</v>
      </c>
      <c r="M138" s="115" t="s">
        <v>954</v>
      </c>
      <c r="N138" s="115" t="s">
        <v>954</v>
      </c>
      <c r="O138" s="115">
        <v>53256</v>
      </c>
      <c r="P138" s="115">
        <v>65482</v>
      </c>
      <c r="Q138" s="116">
        <v>68673.600000000006</v>
      </c>
      <c r="R138" s="116">
        <v>70448</v>
      </c>
      <c r="S138" s="116">
        <v>64501</v>
      </c>
      <c r="T138" s="116">
        <v>71289</v>
      </c>
      <c r="U138" s="116">
        <v>78876</v>
      </c>
      <c r="V138" s="116">
        <v>73266.571946304088</v>
      </c>
      <c r="W138" s="128">
        <v>85100</v>
      </c>
      <c r="X138" s="128">
        <v>90983</v>
      </c>
      <c r="Y138" s="128">
        <v>92298</v>
      </c>
      <c r="Z138" s="128">
        <v>104997</v>
      </c>
      <c r="AA138" s="151">
        <v>117734</v>
      </c>
    </row>
    <row r="139" spans="1:27" ht="15" x14ac:dyDescent="0.2">
      <c r="A139" s="113" t="s">
        <v>604</v>
      </c>
      <c r="B139" s="114">
        <v>6624</v>
      </c>
      <c r="C139" s="113" t="s">
        <v>660</v>
      </c>
      <c r="D139" s="113" t="s">
        <v>880</v>
      </c>
      <c r="E139" s="115">
        <v>1393</v>
      </c>
      <c r="F139" s="115">
        <v>1324</v>
      </c>
      <c r="G139" s="115" t="s">
        <v>954</v>
      </c>
      <c r="H139" s="115" t="s">
        <v>954</v>
      </c>
      <c r="I139" s="115" t="s">
        <v>954</v>
      </c>
      <c r="J139" s="115" t="s">
        <v>954</v>
      </c>
      <c r="K139" s="115" t="s">
        <v>954</v>
      </c>
      <c r="L139" s="115" t="s">
        <v>954</v>
      </c>
      <c r="M139" s="115" t="s">
        <v>954</v>
      </c>
      <c r="N139" s="115" t="s">
        <v>954</v>
      </c>
      <c r="O139" s="115">
        <v>6595</v>
      </c>
      <c r="P139" s="115">
        <v>7421.9737819683623</v>
      </c>
      <c r="Q139" s="116">
        <v>7420.9252164264572</v>
      </c>
      <c r="R139" s="116">
        <v>7471</v>
      </c>
      <c r="S139" s="116">
        <v>7791</v>
      </c>
      <c r="T139" s="116">
        <v>8323</v>
      </c>
      <c r="U139" s="116">
        <v>8644.9240938584226</v>
      </c>
      <c r="V139" s="116">
        <v>8214.6697339565617</v>
      </c>
      <c r="W139" s="128">
        <v>8459.5497764248885</v>
      </c>
      <c r="X139" s="128">
        <v>8596.5313070172615</v>
      </c>
      <c r="Y139" s="128">
        <v>8752</v>
      </c>
      <c r="Z139" s="128">
        <v>9203</v>
      </c>
      <c r="AA139" s="151">
        <v>9388.9167820064031</v>
      </c>
    </row>
    <row r="140" spans="1:27" ht="15" x14ac:dyDescent="0.2">
      <c r="A140" s="113" t="s">
        <v>604</v>
      </c>
      <c r="B140" s="114">
        <v>6920</v>
      </c>
      <c r="C140" s="113" t="s">
        <v>663</v>
      </c>
      <c r="D140" s="113" t="s">
        <v>880</v>
      </c>
      <c r="E140" s="115">
        <v>2015</v>
      </c>
      <c r="F140" s="115">
        <v>2040</v>
      </c>
      <c r="G140" s="115">
        <v>2507</v>
      </c>
      <c r="H140" s="115">
        <v>2507</v>
      </c>
      <c r="I140" s="115">
        <v>2502</v>
      </c>
      <c r="J140" s="115">
        <v>2372</v>
      </c>
      <c r="K140" s="115">
        <v>2352</v>
      </c>
      <c r="L140" s="115">
        <v>2750</v>
      </c>
      <c r="M140" s="115">
        <v>3429</v>
      </c>
      <c r="N140" s="115">
        <v>3381</v>
      </c>
      <c r="O140" s="115">
        <v>3227</v>
      </c>
      <c r="P140" s="115">
        <v>3520.2094026399495</v>
      </c>
      <c r="Q140" s="116">
        <v>3466.8535609191749</v>
      </c>
      <c r="R140" s="116">
        <v>3487</v>
      </c>
      <c r="S140" s="116">
        <v>3496</v>
      </c>
      <c r="T140" s="116">
        <v>3577</v>
      </c>
      <c r="U140" s="116">
        <v>3662.65592150265</v>
      </c>
      <c r="V140" s="116">
        <v>3836.8999243527751</v>
      </c>
      <c r="W140" s="128">
        <v>4106.1384145919892</v>
      </c>
      <c r="X140" s="128">
        <v>4535.1958340989559</v>
      </c>
      <c r="Y140" s="128">
        <v>5234</v>
      </c>
      <c r="Z140" s="128">
        <v>6084</v>
      </c>
      <c r="AA140" s="151">
        <v>7884.2929478409696</v>
      </c>
    </row>
    <row r="141" spans="1:27" ht="15" x14ac:dyDescent="0.2">
      <c r="A141" s="113" t="s">
        <v>604</v>
      </c>
      <c r="B141" s="114">
        <v>7119</v>
      </c>
      <c r="C141" s="113" t="s">
        <v>665</v>
      </c>
      <c r="D141" s="113" t="s">
        <v>880</v>
      </c>
      <c r="E141" s="115">
        <v>20862</v>
      </c>
      <c r="F141" s="115">
        <v>21125</v>
      </c>
      <c r="G141" s="115">
        <v>23184</v>
      </c>
      <c r="H141" s="115">
        <v>25291</v>
      </c>
      <c r="I141" s="115">
        <v>26129</v>
      </c>
      <c r="J141" s="115">
        <v>24901</v>
      </c>
      <c r="K141" s="115">
        <v>24845</v>
      </c>
      <c r="L141" s="115">
        <v>25592</v>
      </c>
      <c r="M141" s="115">
        <v>24554</v>
      </c>
      <c r="N141" s="115">
        <v>25808</v>
      </c>
      <c r="O141" s="115">
        <v>26073</v>
      </c>
      <c r="P141" s="115">
        <v>26046.115800848078</v>
      </c>
      <c r="Q141" s="116">
        <v>26494.552963547882</v>
      </c>
      <c r="R141" s="116">
        <v>26983</v>
      </c>
      <c r="S141" s="116">
        <v>27685</v>
      </c>
      <c r="T141" s="116">
        <v>28834</v>
      </c>
      <c r="U141" s="116">
        <v>29134</v>
      </c>
      <c r="V141" s="116">
        <v>31557</v>
      </c>
      <c r="W141" s="128">
        <v>30457.885718671245</v>
      </c>
      <c r="X141" s="128">
        <v>31922.671760937868</v>
      </c>
      <c r="Y141" s="128">
        <v>33324</v>
      </c>
      <c r="Z141" s="128">
        <v>35138</v>
      </c>
      <c r="AA141" s="151">
        <v>36661.757658261384</v>
      </c>
    </row>
    <row r="142" spans="1:27" ht="15" x14ac:dyDescent="0.2">
      <c r="A142" s="113" t="s">
        <v>604</v>
      </c>
      <c r="B142" s="114">
        <v>7187</v>
      </c>
      <c r="C142" s="113" t="s">
        <v>928</v>
      </c>
      <c r="D142" s="113" t="s">
        <v>880</v>
      </c>
      <c r="E142" s="115">
        <v>2020</v>
      </c>
      <c r="F142" s="115">
        <v>1907</v>
      </c>
      <c r="G142" s="115">
        <v>1935</v>
      </c>
      <c r="H142" s="115">
        <v>1964</v>
      </c>
      <c r="I142" s="115">
        <v>1964</v>
      </c>
      <c r="J142" s="115">
        <v>1964</v>
      </c>
      <c r="K142" s="115">
        <v>1907</v>
      </c>
      <c r="L142" s="115">
        <v>1930</v>
      </c>
      <c r="M142" s="115">
        <v>1930</v>
      </c>
      <c r="N142" s="115">
        <v>1722</v>
      </c>
      <c r="O142" s="115">
        <v>1694.0684504883084</v>
      </c>
      <c r="P142" s="115">
        <v>1692.1059982840959</v>
      </c>
      <c r="Q142" s="116">
        <v>1640.422777331715</v>
      </c>
      <c r="R142" s="116">
        <v>1640</v>
      </c>
      <c r="S142" s="116">
        <v>1640</v>
      </c>
      <c r="T142" s="116">
        <v>1640</v>
      </c>
      <c r="U142" s="116">
        <v>1481.8372073817673</v>
      </c>
      <c r="V142" s="116">
        <v>1481.8372073817673</v>
      </c>
      <c r="W142" s="128">
        <v>1481.8371301358359</v>
      </c>
      <c r="X142" s="128">
        <v>1481.8371612722822</v>
      </c>
      <c r="Y142" s="128">
        <v>1482</v>
      </c>
      <c r="Z142" s="128">
        <v>1482</v>
      </c>
      <c r="AA142" s="151">
        <v>1402.8243542343857</v>
      </c>
    </row>
    <row r="143" spans="1:27" ht="15" x14ac:dyDescent="0.2">
      <c r="A143" s="113" t="s">
        <v>604</v>
      </c>
      <c r="B143" s="114">
        <v>7328</v>
      </c>
      <c r="C143" s="113" t="s">
        <v>929</v>
      </c>
      <c r="D143" s="113" t="s">
        <v>880</v>
      </c>
      <c r="E143" s="115" t="s">
        <v>954</v>
      </c>
      <c r="F143" s="115" t="s">
        <v>954</v>
      </c>
      <c r="G143" s="115" t="s">
        <v>954</v>
      </c>
      <c r="H143" s="115" t="s">
        <v>954</v>
      </c>
      <c r="I143" s="115" t="s">
        <v>954</v>
      </c>
      <c r="J143" s="115">
        <v>750</v>
      </c>
      <c r="K143" s="115">
        <v>750</v>
      </c>
      <c r="L143" s="115">
        <v>750</v>
      </c>
      <c r="M143" s="115">
        <v>750</v>
      </c>
      <c r="N143" s="115">
        <v>750</v>
      </c>
      <c r="O143" s="115">
        <v>1058.4127557254105</v>
      </c>
      <c r="P143" s="115">
        <v>1061.4110890964107</v>
      </c>
      <c r="Q143" s="116">
        <v>978.99930338212505</v>
      </c>
      <c r="R143" s="116">
        <v>979</v>
      </c>
      <c r="S143" s="116">
        <v>750</v>
      </c>
      <c r="T143" s="116">
        <v>979</v>
      </c>
      <c r="U143" s="116">
        <v>978.99925528874996</v>
      </c>
      <c r="V143" s="116">
        <v>979</v>
      </c>
      <c r="W143" s="128">
        <v>979</v>
      </c>
      <c r="X143" s="128">
        <v>980.47289394425525</v>
      </c>
      <c r="Y143" s="128">
        <v>980</v>
      </c>
      <c r="Z143" s="128">
        <v>980</v>
      </c>
      <c r="AA143" s="151">
        <v>990.68001733154131</v>
      </c>
    </row>
    <row r="144" spans="1:27" ht="15" x14ac:dyDescent="0.2">
      <c r="A144" s="113" t="s">
        <v>604</v>
      </c>
      <c r="B144" s="114">
        <v>7878</v>
      </c>
      <c r="C144" s="113" t="s">
        <v>523</v>
      </c>
      <c r="D144" s="113" t="s">
        <v>880</v>
      </c>
      <c r="E144" s="115">
        <v>1966</v>
      </c>
      <c r="F144" s="115">
        <v>1991</v>
      </c>
      <c r="G144" s="115">
        <v>2000</v>
      </c>
      <c r="H144" s="115">
        <v>2022</v>
      </c>
      <c r="I144" s="115">
        <v>2023</v>
      </c>
      <c r="J144" s="115">
        <v>2023</v>
      </c>
      <c r="K144" s="115">
        <v>1897</v>
      </c>
      <c r="L144" s="115">
        <v>1897</v>
      </c>
      <c r="M144" s="115">
        <v>1897</v>
      </c>
      <c r="N144" s="115">
        <v>1607</v>
      </c>
      <c r="O144" s="115">
        <v>2014.9660861569571</v>
      </c>
      <c r="P144" s="115">
        <v>2253.0679116716069</v>
      </c>
      <c r="Q144" s="116">
        <v>2253.0679116716069</v>
      </c>
      <c r="R144" s="116">
        <v>2253</v>
      </c>
      <c r="S144" s="116">
        <v>2253</v>
      </c>
      <c r="T144" s="116">
        <v>2253</v>
      </c>
      <c r="U144" s="116">
        <v>2253.0682324763511</v>
      </c>
      <c r="V144" s="116">
        <v>2253.0682324763511</v>
      </c>
      <c r="W144" s="128">
        <v>2253.0678344536072</v>
      </c>
      <c r="X144" s="128">
        <v>2253.0678275462892</v>
      </c>
      <c r="Y144" s="128">
        <v>2280</v>
      </c>
      <c r="Z144" s="128">
        <v>2280</v>
      </c>
      <c r="AA144" s="151">
        <v>2169.2391123905168</v>
      </c>
    </row>
    <row r="145" spans="1:27" ht="15" x14ac:dyDescent="0.2">
      <c r="A145" s="113" t="s">
        <v>604</v>
      </c>
      <c r="B145" s="114">
        <v>8054</v>
      </c>
      <c r="C145" s="113" t="s">
        <v>927</v>
      </c>
      <c r="D145" s="113" t="s">
        <v>880</v>
      </c>
      <c r="E145" s="115">
        <v>5113</v>
      </c>
      <c r="F145" s="115">
        <v>5133</v>
      </c>
      <c r="G145" s="115">
        <v>5327</v>
      </c>
      <c r="H145" s="115">
        <v>5327</v>
      </c>
      <c r="I145" s="115">
        <v>4584</v>
      </c>
      <c r="J145" s="115">
        <v>4584</v>
      </c>
      <c r="K145" s="115">
        <v>6237</v>
      </c>
      <c r="L145" s="115">
        <v>6247</v>
      </c>
      <c r="M145" s="115">
        <v>6247</v>
      </c>
      <c r="N145" s="115">
        <v>5844</v>
      </c>
      <c r="O145" s="115">
        <v>5995</v>
      </c>
      <c r="P145" s="115">
        <v>6363</v>
      </c>
      <c r="Q145" s="116">
        <v>6477.0494882956755</v>
      </c>
      <c r="R145" s="116">
        <v>6495</v>
      </c>
      <c r="S145" s="116">
        <v>6526</v>
      </c>
      <c r="T145" s="116">
        <v>6546</v>
      </c>
      <c r="U145" s="116">
        <v>6558.1143404344357</v>
      </c>
      <c r="V145" s="116">
        <v>6616.6716893851572</v>
      </c>
      <c r="W145" s="128">
        <v>6626.8328203872179</v>
      </c>
      <c r="X145" s="128">
        <v>6650.9234185435644</v>
      </c>
      <c r="Y145" s="128">
        <v>6659</v>
      </c>
      <c r="Z145" s="128">
        <v>6685</v>
      </c>
      <c r="AA145" s="151">
        <v>6432.0140413680783</v>
      </c>
    </row>
    <row r="146" spans="1:27" ht="15" x14ac:dyDescent="0.2">
      <c r="A146" s="113" t="s">
        <v>604</v>
      </c>
      <c r="B146" s="114">
        <v>8344</v>
      </c>
      <c r="C146" s="113" t="s">
        <v>930</v>
      </c>
      <c r="D146" s="113" t="s">
        <v>880</v>
      </c>
      <c r="E146" s="115">
        <v>1711</v>
      </c>
      <c r="F146" s="115">
        <v>1557</v>
      </c>
      <c r="G146" s="115">
        <v>1560</v>
      </c>
      <c r="H146" s="115">
        <v>1564</v>
      </c>
      <c r="I146" s="115">
        <v>1564</v>
      </c>
      <c r="J146" s="115">
        <v>1564</v>
      </c>
      <c r="K146" s="115">
        <v>1564</v>
      </c>
      <c r="L146" s="115">
        <v>1219</v>
      </c>
      <c r="M146" s="115">
        <v>1219</v>
      </c>
      <c r="N146" s="115">
        <v>1219</v>
      </c>
      <c r="O146" s="115">
        <v>1419.6620698752324</v>
      </c>
      <c r="P146" s="115">
        <v>1415.9211839533825</v>
      </c>
      <c r="Q146" s="116">
        <v>1396.1918339533825</v>
      </c>
      <c r="R146" s="116">
        <v>1396</v>
      </c>
      <c r="S146" s="116">
        <v>1379</v>
      </c>
      <c r="T146" s="116">
        <v>1379</v>
      </c>
      <c r="U146" s="116">
        <v>1378.5927772228774</v>
      </c>
      <c r="V146" s="116">
        <v>1378.5927772228774</v>
      </c>
      <c r="W146" s="128">
        <v>1378.5927772228774</v>
      </c>
      <c r="X146" s="128">
        <v>1378.5927978372258</v>
      </c>
      <c r="Y146" s="128">
        <v>1379</v>
      </c>
      <c r="Z146" s="128">
        <v>1379</v>
      </c>
      <c r="AA146" s="151">
        <v>1631.9083359374881</v>
      </c>
    </row>
    <row r="147" spans="1:27" ht="15" x14ac:dyDescent="0.2">
      <c r="A147" s="113" t="s">
        <v>604</v>
      </c>
      <c r="B147" s="114">
        <v>8468</v>
      </c>
      <c r="C147" s="113" t="s">
        <v>685</v>
      </c>
      <c r="D147" s="113" t="s">
        <v>880</v>
      </c>
      <c r="E147" s="115">
        <v>1999</v>
      </c>
      <c r="F147" s="115">
        <v>1951</v>
      </c>
      <c r="G147" s="115">
        <v>2763</v>
      </c>
      <c r="H147" s="115">
        <v>2763</v>
      </c>
      <c r="I147" s="115">
        <v>2200</v>
      </c>
      <c r="J147" s="115">
        <v>2200</v>
      </c>
      <c r="K147" s="115">
        <v>2348</v>
      </c>
      <c r="L147" s="115">
        <v>4828</v>
      </c>
      <c r="M147" s="115">
        <v>4852</v>
      </c>
      <c r="N147" s="115">
        <v>5943</v>
      </c>
      <c r="O147" s="115">
        <v>5893.6669717524637</v>
      </c>
      <c r="P147" s="115">
        <v>6021.3101394440528</v>
      </c>
      <c r="Q147" s="116">
        <v>5957.8961409845124</v>
      </c>
      <c r="R147" s="116">
        <v>5867</v>
      </c>
      <c r="S147" s="116">
        <v>6353</v>
      </c>
      <c r="T147" s="116">
        <v>6550</v>
      </c>
      <c r="U147" s="116">
        <v>6738.3706049731609</v>
      </c>
      <c r="V147" s="116">
        <v>7176.3181826652308</v>
      </c>
      <c r="W147" s="128">
        <v>7449.635172486599</v>
      </c>
      <c r="X147" s="128">
        <v>7615.7194602017571</v>
      </c>
      <c r="Y147" s="128">
        <v>7758</v>
      </c>
      <c r="Z147" s="128">
        <v>7764</v>
      </c>
      <c r="AA147" s="151">
        <v>7464.7968579894559</v>
      </c>
    </row>
    <row r="148" spans="1:27" ht="15" x14ac:dyDescent="0.2">
      <c r="A148" s="113" t="s">
        <v>604</v>
      </c>
      <c r="B148" s="114">
        <v>8522</v>
      </c>
      <c r="C148" s="113" t="s">
        <v>687</v>
      </c>
      <c r="D148" s="113" t="s">
        <v>880</v>
      </c>
      <c r="E148" s="115">
        <v>15103</v>
      </c>
      <c r="F148" s="115">
        <v>15454</v>
      </c>
      <c r="G148" s="115">
        <v>19520</v>
      </c>
      <c r="H148" s="115">
        <v>19520</v>
      </c>
      <c r="I148" s="115">
        <v>22650</v>
      </c>
      <c r="J148" s="115">
        <v>26939</v>
      </c>
      <c r="K148" s="115">
        <v>24978</v>
      </c>
      <c r="L148" s="115">
        <v>24978</v>
      </c>
      <c r="M148" s="115">
        <v>22031</v>
      </c>
      <c r="N148" s="115">
        <v>27233</v>
      </c>
      <c r="O148" s="115">
        <v>30223</v>
      </c>
      <c r="P148" s="115">
        <v>30099.508840621114</v>
      </c>
      <c r="Q148" s="116">
        <v>30545.418982542629</v>
      </c>
      <c r="R148" s="116">
        <v>31147</v>
      </c>
      <c r="S148" s="116">
        <v>31557</v>
      </c>
      <c r="T148" s="116">
        <v>32506</v>
      </c>
      <c r="U148" s="116">
        <v>33447.245948814067</v>
      </c>
      <c r="V148" s="116">
        <v>36520.872906206678</v>
      </c>
      <c r="W148" s="128">
        <v>37416.93775505136</v>
      </c>
      <c r="X148" s="128">
        <v>39694.383514246118</v>
      </c>
      <c r="Y148" s="128">
        <v>44258</v>
      </c>
      <c r="Z148" s="128">
        <v>47359</v>
      </c>
      <c r="AA148" s="151">
        <v>52389.226252135028</v>
      </c>
    </row>
    <row r="149" spans="1:27" ht="15" x14ac:dyDescent="0.2">
      <c r="A149" s="113" t="s">
        <v>604</v>
      </c>
      <c r="B149" s="114">
        <v>8753</v>
      </c>
      <c r="C149" s="113" t="s">
        <v>931</v>
      </c>
      <c r="D149" s="113" t="s">
        <v>880</v>
      </c>
      <c r="E149" s="115">
        <v>903</v>
      </c>
      <c r="F149" s="115">
        <v>847</v>
      </c>
      <c r="G149" s="115">
        <v>879</v>
      </c>
      <c r="H149" s="115">
        <v>911</v>
      </c>
      <c r="I149" s="115">
        <v>911</v>
      </c>
      <c r="J149" s="115">
        <v>911</v>
      </c>
      <c r="K149" s="115">
        <v>911</v>
      </c>
      <c r="L149" s="115">
        <v>703</v>
      </c>
      <c r="M149" s="115">
        <v>828</v>
      </c>
      <c r="N149" s="115">
        <v>703</v>
      </c>
      <c r="O149" s="115">
        <v>718.53514534566295</v>
      </c>
      <c r="P149" s="115">
        <v>716.74273742372361</v>
      </c>
      <c r="Q149" s="116">
        <v>705.85567313800937</v>
      </c>
      <c r="R149" s="116">
        <v>701</v>
      </c>
      <c r="S149" s="116">
        <v>700</v>
      </c>
      <c r="T149" s="116" t="s">
        <v>868</v>
      </c>
      <c r="U149" s="116">
        <v>700</v>
      </c>
      <c r="V149" s="116">
        <v>748</v>
      </c>
      <c r="W149" s="128" t="s">
        <v>868</v>
      </c>
      <c r="X149" s="128" t="s">
        <v>868</v>
      </c>
      <c r="Y149" s="128" t="s">
        <v>868</v>
      </c>
      <c r="Z149" s="128" t="s">
        <v>868</v>
      </c>
      <c r="AA149" s="151" t="s">
        <v>868</v>
      </c>
    </row>
    <row r="150" spans="1:27" ht="15" x14ac:dyDescent="0.2">
      <c r="A150" s="113" t="s">
        <v>604</v>
      </c>
      <c r="B150" s="114">
        <v>8967</v>
      </c>
      <c r="C150" s="113" t="s">
        <v>932</v>
      </c>
      <c r="D150" s="113" t="s">
        <v>880</v>
      </c>
      <c r="E150" s="115">
        <v>692</v>
      </c>
      <c r="F150" s="115">
        <v>692</v>
      </c>
      <c r="G150" s="115">
        <v>1028</v>
      </c>
      <c r="H150" s="115">
        <v>1028</v>
      </c>
      <c r="I150" s="115">
        <v>1028</v>
      </c>
      <c r="J150" s="115">
        <v>696</v>
      </c>
      <c r="K150" s="115">
        <v>764</v>
      </c>
      <c r="L150" s="115">
        <v>764</v>
      </c>
      <c r="M150" s="115">
        <v>760</v>
      </c>
      <c r="N150" s="115">
        <v>799</v>
      </c>
      <c r="O150" s="115">
        <v>720</v>
      </c>
      <c r="P150" s="115">
        <v>719.09793180202121</v>
      </c>
      <c r="Q150" s="116">
        <v>696.802155611545</v>
      </c>
      <c r="R150" s="116">
        <v>697</v>
      </c>
      <c r="S150" s="116">
        <v>611</v>
      </c>
      <c r="T150" s="116">
        <v>698</v>
      </c>
      <c r="U150" s="116">
        <v>698.48122876167997</v>
      </c>
      <c r="V150" s="116">
        <v>698.48122876167997</v>
      </c>
      <c r="W150" s="128">
        <v>698.48119695036803</v>
      </c>
      <c r="X150" s="128">
        <v>698.48121311988928</v>
      </c>
      <c r="Y150" s="128">
        <v>698</v>
      </c>
      <c r="Z150" s="128">
        <v>698</v>
      </c>
      <c r="AA150" s="151">
        <v>697.4164210709846</v>
      </c>
    </row>
    <row r="151" spans="1:27" ht="15" x14ac:dyDescent="0.2">
      <c r="A151" s="113" t="s">
        <v>604</v>
      </c>
      <c r="B151" s="114">
        <v>10141</v>
      </c>
      <c r="C151" s="113" t="s">
        <v>933</v>
      </c>
      <c r="D151" s="113" t="s">
        <v>880</v>
      </c>
      <c r="E151" s="115">
        <v>0</v>
      </c>
      <c r="F151" s="115">
        <v>0</v>
      </c>
      <c r="G151" s="115">
        <v>0</v>
      </c>
      <c r="H151" s="115">
        <v>0</v>
      </c>
      <c r="I151" s="115">
        <v>0</v>
      </c>
      <c r="J151" s="115">
        <v>0</v>
      </c>
      <c r="K151" s="115">
        <v>0</v>
      </c>
      <c r="L151" s="115">
        <v>0</v>
      </c>
      <c r="M151" s="115">
        <v>0</v>
      </c>
      <c r="N151" s="115">
        <v>0</v>
      </c>
      <c r="O151" s="115" t="s">
        <v>868</v>
      </c>
      <c r="P151" s="115" t="s">
        <v>868</v>
      </c>
      <c r="Q151" s="116"/>
      <c r="R151" s="120" t="s">
        <v>868</v>
      </c>
      <c r="S151" s="116" t="s">
        <v>868</v>
      </c>
      <c r="T151" s="116">
        <v>0</v>
      </c>
      <c r="U151" s="116" t="s">
        <v>868</v>
      </c>
      <c r="V151" s="116">
        <v>0</v>
      </c>
      <c r="W151" s="128" t="s">
        <v>868</v>
      </c>
      <c r="X151" s="128">
        <v>653.02570778759548</v>
      </c>
      <c r="Y151" s="128">
        <v>379</v>
      </c>
      <c r="Z151" s="128" t="s">
        <v>868</v>
      </c>
      <c r="AA151" s="151" t="s">
        <v>868</v>
      </c>
    </row>
    <row r="152" spans="1:27" ht="15" x14ac:dyDescent="0.2">
      <c r="A152" s="113" t="s">
        <v>604</v>
      </c>
      <c r="B152" s="114">
        <v>12800</v>
      </c>
      <c r="C152" s="113" t="s">
        <v>934</v>
      </c>
      <c r="D152" s="113" t="s">
        <v>880</v>
      </c>
      <c r="E152" s="115">
        <v>0</v>
      </c>
      <c r="F152" s="115">
        <v>0</v>
      </c>
      <c r="G152" s="115">
        <v>0</v>
      </c>
      <c r="H152" s="115">
        <v>0</v>
      </c>
      <c r="I152" s="115">
        <v>0</v>
      </c>
      <c r="J152" s="115">
        <v>0</v>
      </c>
      <c r="K152" s="115">
        <v>0</v>
      </c>
      <c r="L152" s="115">
        <v>0</v>
      </c>
      <c r="M152" s="115">
        <v>0</v>
      </c>
      <c r="N152" s="115">
        <v>0</v>
      </c>
      <c r="O152" s="115" t="s">
        <v>868</v>
      </c>
      <c r="P152" s="115" t="s">
        <v>868</v>
      </c>
      <c r="Q152" s="116" t="s">
        <v>868</v>
      </c>
      <c r="R152" s="116" t="s">
        <v>868</v>
      </c>
      <c r="S152" s="116" t="s">
        <v>868</v>
      </c>
      <c r="T152" s="116">
        <v>0</v>
      </c>
      <c r="U152" s="116">
        <v>344.59060833622976</v>
      </c>
      <c r="V152" s="116">
        <v>488.90633319499273</v>
      </c>
      <c r="W152" s="128">
        <v>1039.6622627580266</v>
      </c>
      <c r="X152" s="128">
        <v>1151.5805845447783</v>
      </c>
      <c r="Y152" s="128">
        <v>2235</v>
      </c>
      <c r="Z152" s="128">
        <v>4</v>
      </c>
      <c r="AA152" s="151" t="s">
        <v>868</v>
      </c>
    </row>
    <row r="153" spans="1:27" ht="15" x14ac:dyDescent="0.2">
      <c r="A153" s="113" t="s">
        <v>604</v>
      </c>
      <c r="B153" s="114">
        <v>12964</v>
      </c>
      <c r="C153" s="113" t="s">
        <v>935</v>
      </c>
      <c r="D153" s="113" t="s">
        <v>880</v>
      </c>
      <c r="E153" s="115">
        <v>0</v>
      </c>
      <c r="F153" s="115">
        <v>0</v>
      </c>
      <c r="G153" s="115">
        <v>0</v>
      </c>
      <c r="H153" s="115">
        <v>0</v>
      </c>
      <c r="I153" s="115">
        <v>0</v>
      </c>
      <c r="J153" s="115">
        <v>0</v>
      </c>
      <c r="K153" s="115">
        <v>0</v>
      </c>
      <c r="L153" s="115">
        <v>0</v>
      </c>
      <c r="M153" s="115">
        <v>0</v>
      </c>
      <c r="N153" s="115">
        <v>0</v>
      </c>
      <c r="O153" s="115" t="s">
        <v>868</v>
      </c>
      <c r="P153" s="115" t="s">
        <v>868</v>
      </c>
      <c r="Q153" s="116"/>
      <c r="R153" s="116">
        <v>0</v>
      </c>
      <c r="S153" s="116" t="s">
        <v>868</v>
      </c>
      <c r="T153" s="116" t="s">
        <v>868</v>
      </c>
      <c r="U153" s="116" t="s">
        <v>868</v>
      </c>
      <c r="V153" s="116" t="s">
        <v>868</v>
      </c>
      <c r="W153" s="128" t="s">
        <v>868</v>
      </c>
      <c r="X153" s="128" t="s">
        <v>868</v>
      </c>
      <c r="Y153" s="128" t="s">
        <v>868</v>
      </c>
      <c r="Z153" s="128" t="s">
        <v>868</v>
      </c>
      <c r="AA153" s="151" t="s">
        <v>868</v>
      </c>
    </row>
    <row r="154" spans="1:27" ht="15" x14ac:dyDescent="0.2">
      <c r="A154" s="113" t="s">
        <v>604</v>
      </c>
      <c r="B154" s="114">
        <v>13043</v>
      </c>
      <c r="C154" s="113" t="s">
        <v>936</v>
      </c>
      <c r="D154" s="113" t="s">
        <v>880</v>
      </c>
      <c r="E154" s="115">
        <v>1510</v>
      </c>
      <c r="F154" s="115">
        <v>2352</v>
      </c>
      <c r="G154" s="115">
        <v>2970</v>
      </c>
      <c r="H154" s="115">
        <v>2970</v>
      </c>
      <c r="I154" s="115">
        <v>2987</v>
      </c>
      <c r="J154" s="115">
        <v>3557</v>
      </c>
      <c r="K154" s="115">
        <v>3631</v>
      </c>
      <c r="L154" s="115">
        <v>3528</v>
      </c>
      <c r="M154" s="115">
        <v>3633</v>
      </c>
      <c r="N154" s="115">
        <v>3610</v>
      </c>
      <c r="O154" s="115">
        <v>3129.2768296278837</v>
      </c>
      <c r="P154" s="115">
        <v>2712.950590679894</v>
      </c>
      <c r="Q154" s="116">
        <v>2727.9392679764678</v>
      </c>
      <c r="R154" s="116">
        <v>2754</v>
      </c>
      <c r="S154" s="116">
        <v>2809</v>
      </c>
      <c r="T154" s="116">
        <v>2848</v>
      </c>
      <c r="U154" s="116">
        <v>2926.5391212623495</v>
      </c>
      <c r="V154" s="116">
        <v>3000</v>
      </c>
      <c r="W154" s="128">
        <v>2990.2411206665124</v>
      </c>
      <c r="X154" s="128">
        <v>3005.2298036632042</v>
      </c>
      <c r="Y154" s="128">
        <v>3005</v>
      </c>
      <c r="Z154" s="128">
        <v>3005</v>
      </c>
      <c r="AA154" s="151">
        <v>2944.7606119748471</v>
      </c>
    </row>
    <row r="155" spans="1:27" ht="15" x14ac:dyDescent="0.2">
      <c r="A155" s="113" t="s">
        <v>710</v>
      </c>
      <c r="B155" s="114">
        <v>2923</v>
      </c>
      <c r="C155" s="113" t="s">
        <v>712</v>
      </c>
      <c r="D155" s="113" t="s">
        <v>863</v>
      </c>
      <c r="E155" s="115">
        <v>26562</v>
      </c>
      <c r="F155" s="115">
        <v>18863</v>
      </c>
      <c r="G155" s="115">
        <v>31225</v>
      </c>
      <c r="H155" s="115">
        <v>35721</v>
      </c>
      <c r="I155" s="115">
        <v>36588</v>
      </c>
      <c r="J155" s="115">
        <v>40342</v>
      </c>
      <c r="K155" s="115">
        <v>43363</v>
      </c>
      <c r="L155" s="115">
        <v>39095</v>
      </c>
      <c r="M155" s="115">
        <v>39691</v>
      </c>
      <c r="N155" s="115">
        <v>41867</v>
      </c>
      <c r="O155" s="115">
        <v>44323.492331425099</v>
      </c>
      <c r="P155" s="115">
        <v>44579.421504541657</v>
      </c>
      <c r="Q155" s="116">
        <v>45759.495874049819</v>
      </c>
      <c r="R155" s="116">
        <v>46483</v>
      </c>
      <c r="S155" s="116">
        <v>47889</v>
      </c>
      <c r="T155" s="116">
        <v>49450</v>
      </c>
      <c r="U155" s="116">
        <v>51055.973309337234</v>
      </c>
      <c r="V155" s="116">
        <v>53453.13333587737</v>
      </c>
      <c r="W155" s="128">
        <v>56756.333451666978</v>
      </c>
      <c r="X155" s="128">
        <v>56768.871464908763</v>
      </c>
      <c r="Y155" s="128">
        <v>58702</v>
      </c>
      <c r="Z155" s="128">
        <v>59976</v>
      </c>
      <c r="AA155" s="151">
        <v>62776.791308280772</v>
      </c>
    </row>
    <row r="156" spans="1:27" ht="15" x14ac:dyDescent="0.2">
      <c r="A156" s="113" t="s">
        <v>710</v>
      </c>
      <c r="B156" s="114">
        <v>4318</v>
      </c>
      <c r="C156" s="113" t="s">
        <v>937</v>
      </c>
      <c r="D156" s="113" t="s">
        <v>863</v>
      </c>
      <c r="E156" s="115">
        <v>68947</v>
      </c>
      <c r="F156" s="115">
        <v>70569</v>
      </c>
      <c r="G156" s="115">
        <v>71263</v>
      </c>
      <c r="H156" s="115">
        <v>71487</v>
      </c>
      <c r="I156" s="115">
        <v>71762</v>
      </c>
      <c r="J156" s="115">
        <v>72436</v>
      </c>
      <c r="K156" s="115">
        <v>72804</v>
      </c>
      <c r="L156" s="115">
        <v>70650</v>
      </c>
      <c r="M156" s="115">
        <v>69843</v>
      </c>
      <c r="N156" s="115">
        <v>75861</v>
      </c>
      <c r="O156" s="115">
        <v>77444.436129138703</v>
      </c>
      <c r="P156" s="115">
        <v>70240.518972302787</v>
      </c>
      <c r="Q156" s="116">
        <v>76349.824896230319</v>
      </c>
      <c r="R156" s="116">
        <v>78015</v>
      </c>
      <c r="S156" s="116">
        <v>78701</v>
      </c>
      <c r="T156" s="116">
        <v>79765</v>
      </c>
      <c r="U156" s="116">
        <v>80503</v>
      </c>
      <c r="V156" s="116">
        <v>85579.087814014914</v>
      </c>
      <c r="W156" s="128">
        <v>84548.839770243212</v>
      </c>
      <c r="X156" s="128">
        <v>85511.927649993639</v>
      </c>
      <c r="Y156" s="128">
        <v>84144</v>
      </c>
      <c r="Z156" s="128">
        <v>78959</v>
      </c>
      <c r="AA156" s="151">
        <v>84630.526928847859</v>
      </c>
    </row>
    <row r="157" spans="1:27" ht="15" x14ac:dyDescent="0.2">
      <c r="A157" s="113" t="s">
        <v>710</v>
      </c>
      <c r="B157" s="114">
        <v>4866</v>
      </c>
      <c r="C157" s="113" t="s">
        <v>716</v>
      </c>
      <c r="D157" s="113" t="s">
        <v>863</v>
      </c>
      <c r="E157" s="115">
        <v>33649</v>
      </c>
      <c r="F157" s="115">
        <v>35599</v>
      </c>
      <c r="G157" s="115">
        <v>47472</v>
      </c>
      <c r="H157" s="115">
        <v>47472</v>
      </c>
      <c r="I157" s="115">
        <v>47472</v>
      </c>
      <c r="J157" s="115">
        <v>50423</v>
      </c>
      <c r="K157" s="115">
        <v>51695</v>
      </c>
      <c r="L157" s="115">
        <v>51863</v>
      </c>
      <c r="M157" s="115">
        <v>41383</v>
      </c>
      <c r="N157" s="115">
        <v>41229</v>
      </c>
      <c r="O157" s="115">
        <v>34412.672573495794</v>
      </c>
      <c r="P157" s="115">
        <v>34790.201417088741</v>
      </c>
      <c r="Q157" s="116">
        <v>35108.808014945665</v>
      </c>
      <c r="R157" s="116">
        <v>35278</v>
      </c>
      <c r="S157" s="116">
        <v>40412</v>
      </c>
      <c r="T157" s="116">
        <v>38265</v>
      </c>
      <c r="U157" s="116">
        <v>38621.441964071477</v>
      </c>
      <c r="V157" s="116">
        <v>37213.654975957295</v>
      </c>
      <c r="W157" s="128">
        <v>37540.087540393841</v>
      </c>
      <c r="X157" s="128">
        <v>38271.291017509946</v>
      </c>
      <c r="Y157" s="128">
        <v>38260</v>
      </c>
      <c r="Z157" s="128">
        <v>39278</v>
      </c>
      <c r="AA157" s="151">
        <v>39190.514421141299</v>
      </c>
    </row>
    <row r="158" spans="1:27" ht="15" x14ac:dyDescent="0.2">
      <c r="A158" s="113" t="s">
        <v>710</v>
      </c>
      <c r="B158" s="114">
        <v>5393</v>
      </c>
      <c r="C158" s="113" t="s">
        <v>718</v>
      </c>
      <c r="D158" s="113" t="s">
        <v>863</v>
      </c>
      <c r="E158" s="115">
        <v>21525</v>
      </c>
      <c r="F158" s="115">
        <v>22090</v>
      </c>
      <c r="G158" s="115">
        <v>22876</v>
      </c>
      <c r="H158" s="115">
        <v>23759</v>
      </c>
      <c r="I158" s="115">
        <v>24666</v>
      </c>
      <c r="J158" s="115">
        <v>25078</v>
      </c>
      <c r="K158" s="115">
        <v>25692</v>
      </c>
      <c r="L158" s="115">
        <v>24084</v>
      </c>
      <c r="M158" s="115">
        <v>23712</v>
      </c>
      <c r="N158" s="115">
        <v>30793</v>
      </c>
      <c r="O158" s="115">
        <v>29924</v>
      </c>
      <c r="P158" s="115">
        <v>33226.325272942093</v>
      </c>
      <c r="Q158" s="116">
        <v>33713.894322062566</v>
      </c>
      <c r="R158" s="116">
        <v>33857</v>
      </c>
      <c r="S158" s="116">
        <v>28059</v>
      </c>
      <c r="T158" s="116">
        <v>34778</v>
      </c>
      <c r="U158" s="116">
        <v>34747.402760054545</v>
      </c>
      <c r="V158" s="116">
        <v>35696.53405413311</v>
      </c>
      <c r="W158" s="128">
        <v>36589.481301100081</v>
      </c>
      <c r="X158" s="128">
        <v>37172.077526661778</v>
      </c>
      <c r="Y158" s="128">
        <v>37657</v>
      </c>
      <c r="Z158" s="128">
        <v>38136</v>
      </c>
      <c r="AA158" s="151">
        <v>41467.537917905815</v>
      </c>
    </row>
    <row r="159" spans="1:27" ht="15" x14ac:dyDescent="0.2">
      <c r="A159" s="113" t="s">
        <v>710</v>
      </c>
      <c r="B159" s="114">
        <v>5807</v>
      </c>
      <c r="C159" s="113" t="s">
        <v>938</v>
      </c>
      <c r="D159" s="113" t="s">
        <v>863</v>
      </c>
      <c r="E159" s="115">
        <v>1976</v>
      </c>
      <c r="F159" s="115">
        <v>1976</v>
      </c>
      <c r="G159" s="115">
        <v>1976</v>
      </c>
      <c r="H159" s="115">
        <v>1976</v>
      </c>
      <c r="I159" s="115">
        <v>1976</v>
      </c>
      <c r="J159" s="115">
        <v>1976</v>
      </c>
      <c r="K159" s="115">
        <v>1976</v>
      </c>
      <c r="L159" s="115">
        <v>1976</v>
      </c>
      <c r="M159" s="115">
        <v>1976</v>
      </c>
      <c r="N159" s="115">
        <v>1946</v>
      </c>
      <c r="O159" s="115">
        <v>1667.5489665267683</v>
      </c>
      <c r="P159" s="115">
        <v>1864.8241305955432</v>
      </c>
      <c r="Q159" s="116">
        <v>1864.8241305955432</v>
      </c>
      <c r="R159" s="116">
        <v>1827</v>
      </c>
      <c r="S159" s="116">
        <v>1829</v>
      </c>
      <c r="T159" t="s">
        <v>868</v>
      </c>
      <c r="U159" s="116">
        <v>1828.9619694541875</v>
      </c>
      <c r="V159" s="116">
        <v>1828.9619694541875</v>
      </c>
      <c r="W159" s="128">
        <v>1828.9621280840904</v>
      </c>
      <c r="X159" s="128">
        <v>1828.9621464626184</v>
      </c>
      <c r="Y159" s="128">
        <v>1829</v>
      </c>
      <c r="Z159" s="128">
        <v>1829</v>
      </c>
      <c r="AA159" s="151">
        <v>1736.6908985961468</v>
      </c>
    </row>
    <row r="160" spans="1:27" ht="15" x14ac:dyDescent="0.2">
      <c r="A160" s="113" t="s">
        <v>710</v>
      </c>
      <c r="B160" s="114">
        <v>7448</v>
      </c>
      <c r="C160" s="113" t="s">
        <v>939</v>
      </c>
      <c r="D160" s="113" t="s">
        <v>863</v>
      </c>
      <c r="E160" s="115">
        <v>2600</v>
      </c>
      <c r="F160" s="115">
        <v>2600</v>
      </c>
      <c r="G160" s="115">
        <v>2600</v>
      </c>
      <c r="H160" s="115">
        <v>2600</v>
      </c>
      <c r="I160" s="115">
        <v>2600</v>
      </c>
      <c r="J160" s="115">
        <v>2600</v>
      </c>
      <c r="K160" s="115">
        <v>1254</v>
      </c>
      <c r="L160" s="115">
        <v>1254</v>
      </c>
      <c r="M160" s="115">
        <v>1254</v>
      </c>
      <c r="N160" s="115">
        <v>1254</v>
      </c>
      <c r="O160" s="115">
        <v>3198.3297541723387</v>
      </c>
      <c r="P160" s="115">
        <v>1254</v>
      </c>
      <c r="Q160" s="116">
        <v>1254</v>
      </c>
      <c r="R160" s="116">
        <v>1254</v>
      </c>
      <c r="S160" t="s">
        <v>868</v>
      </c>
      <c r="T160">
        <v>1254</v>
      </c>
      <c r="U160" s="116">
        <v>1339</v>
      </c>
      <c r="V160" s="116">
        <v>1339</v>
      </c>
      <c r="W160" s="128">
        <v>1339</v>
      </c>
      <c r="X160" s="128">
        <v>1339</v>
      </c>
      <c r="Y160" s="128">
        <v>1339</v>
      </c>
      <c r="Z160" s="128">
        <v>1021</v>
      </c>
      <c r="AA160" s="151">
        <v>3051.4055209640883</v>
      </c>
    </row>
    <row r="161" spans="1:27" ht="15" x14ac:dyDescent="0.2">
      <c r="A161" s="113" t="s">
        <v>710</v>
      </c>
      <c r="B161" s="114">
        <v>8836</v>
      </c>
      <c r="C161" s="113" t="s">
        <v>940</v>
      </c>
      <c r="D161" s="113" t="s">
        <v>863</v>
      </c>
      <c r="E161" s="115">
        <v>16900</v>
      </c>
      <c r="F161" s="115">
        <v>16473</v>
      </c>
      <c r="G161" s="115">
        <v>16759</v>
      </c>
      <c r="H161" s="115">
        <v>15473</v>
      </c>
      <c r="I161" s="115">
        <v>14519</v>
      </c>
      <c r="J161" s="115">
        <v>14519</v>
      </c>
      <c r="K161" t="s">
        <v>868</v>
      </c>
      <c r="L161" t="s">
        <v>868</v>
      </c>
      <c r="M161" t="s">
        <v>868</v>
      </c>
      <c r="N161" t="s">
        <v>868</v>
      </c>
      <c r="O161" s="115">
        <v>209042.87561540242</v>
      </c>
      <c r="P161" s="115">
        <v>213039.27216258497</v>
      </c>
      <c r="Q161" s="116">
        <v>221778.1472357267</v>
      </c>
      <c r="R161" s="116">
        <v>228977</v>
      </c>
      <c r="S161" s="116">
        <v>231609</v>
      </c>
      <c r="T161" s="116">
        <v>226601</v>
      </c>
      <c r="U161" s="116">
        <v>230055</v>
      </c>
      <c r="V161" s="116">
        <v>234659</v>
      </c>
      <c r="W161" s="128">
        <v>241131</v>
      </c>
      <c r="X161" s="128">
        <v>244663</v>
      </c>
      <c r="Y161" s="128">
        <v>257733</v>
      </c>
      <c r="Z161" s="128">
        <v>267171</v>
      </c>
      <c r="AA161" s="151">
        <v>272267.35938031273</v>
      </c>
    </row>
    <row r="162" spans="1:27" ht="15" x14ac:dyDescent="0.2">
      <c r="A162" s="113" t="s">
        <v>710</v>
      </c>
      <c r="B162" s="114">
        <v>9638</v>
      </c>
      <c r="C162" s="113" t="s">
        <v>941</v>
      </c>
      <c r="D162" s="113" t="s">
        <v>863</v>
      </c>
      <c r="E162" t="s">
        <v>868</v>
      </c>
      <c r="F162" t="s">
        <v>868</v>
      </c>
      <c r="G162" t="s">
        <v>868</v>
      </c>
      <c r="H162" t="s">
        <v>868</v>
      </c>
      <c r="I162" t="s">
        <v>868</v>
      </c>
      <c r="J162" t="s">
        <v>868</v>
      </c>
      <c r="K162" t="s">
        <v>868</v>
      </c>
      <c r="L162" t="s">
        <v>868</v>
      </c>
      <c r="M162" t="s">
        <v>868</v>
      </c>
      <c r="N162" t="s">
        <v>868</v>
      </c>
      <c r="O162" s="115" t="s">
        <v>868</v>
      </c>
      <c r="P162" s="115" t="s">
        <v>868</v>
      </c>
      <c r="Q162" s="116" t="s">
        <v>868</v>
      </c>
      <c r="R162" t="s">
        <v>868</v>
      </c>
      <c r="S162" s="116">
        <v>1753</v>
      </c>
      <c r="T162" s="116" t="s">
        <v>868</v>
      </c>
      <c r="U162" s="116" t="s">
        <v>868</v>
      </c>
      <c r="V162" s="116" t="s">
        <v>868</v>
      </c>
      <c r="W162" s="128" t="s">
        <v>868</v>
      </c>
      <c r="X162" s="128" t="s">
        <v>868</v>
      </c>
      <c r="Y162" s="128" t="s">
        <v>868</v>
      </c>
      <c r="Z162" s="128" t="s">
        <v>868</v>
      </c>
      <c r="AA162" s="151" t="s">
        <v>868</v>
      </c>
    </row>
    <row r="163" spans="1:27" ht="15" x14ac:dyDescent="0.2">
      <c r="A163" s="113" t="s">
        <v>729</v>
      </c>
      <c r="B163" s="114">
        <v>1368</v>
      </c>
      <c r="C163" s="113" t="s">
        <v>942</v>
      </c>
      <c r="D163" s="113" t="s">
        <v>869</v>
      </c>
      <c r="E163" s="115">
        <v>3128</v>
      </c>
      <c r="F163" s="115">
        <v>3167</v>
      </c>
      <c r="G163" s="115">
        <v>3212</v>
      </c>
      <c r="H163" s="115">
        <v>3333</v>
      </c>
      <c r="I163" s="115">
        <v>3477</v>
      </c>
      <c r="J163" s="115">
        <v>3598</v>
      </c>
      <c r="K163" s="115">
        <v>3600</v>
      </c>
      <c r="L163" s="115">
        <v>3878</v>
      </c>
      <c r="M163" s="115">
        <v>3927</v>
      </c>
      <c r="N163" s="115">
        <v>3733</v>
      </c>
      <c r="O163" s="115">
        <v>3724</v>
      </c>
      <c r="P163" s="115">
        <v>3721.78579631103</v>
      </c>
      <c r="Q163" s="116">
        <v>3823.6301300245327</v>
      </c>
      <c r="R163" s="116">
        <v>3663</v>
      </c>
      <c r="S163" s="116">
        <v>4107</v>
      </c>
      <c r="T163" s="116">
        <v>3871</v>
      </c>
      <c r="U163" s="116">
        <v>3921.8672560192904</v>
      </c>
      <c r="V163" s="116">
        <v>3983.7122535588451</v>
      </c>
      <c r="W163" s="128">
        <v>4052.7020079087956</v>
      </c>
      <c r="X163" s="128">
        <v>4519.5664442919442</v>
      </c>
      <c r="Y163" s="128">
        <v>4466</v>
      </c>
      <c r="Z163" s="128">
        <v>4502</v>
      </c>
      <c r="AA163" s="151">
        <v>4970.7869247604795</v>
      </c>
    </row>
    <row r="164" spans="1:27" ht="15" x14ac:dyDescent="0.2">
      <c r="A164" s="113" t="s">
        <v>729</v>
      </c>
      <c r="B164" s="114">
        <v>2622</v>
      </c>
      <c r="C164" s="113" t="s">
        <v>943</v>
      </c>
      <c r="D164" s="113" t="s">
        <v>869</v>
      </c>
      <c r="E164" s="115">
        <v>2572</v>
      </c>
      <c r="F164" s="115">
        <v>2572</v>
      </c>
      <c r="G164" s="115">
        <v>2572</v>
      </c>
      <c r="H164" s="115">
        <v>2906</v>
      </c>
      <c r="I164" s="115">
        <v>2906</v>
      </c>
      <c r="J164" s="115">
        <v>2906</v>
      </c>
      <c r="K164" s="115">
        <v>2906</v>
      </c>
      <c r="L164" s="115">
        <v>2906</v>
      </c>
      <c r="M164" s="115">
        <v>1681</v>
      </c>
      <c r="N164" s="115">
        <v>1691</v>
      </c>
      <c r="O164" s="115">
        <v>1640</v>
      </c>
      <c r="P164" s="115">
        <v>1597.9038719105477</v>
      </c>
      <c r="Q164" s="116">
        <v>1753</v>
      </c>
      <c r="R164" s="116">
        <v>1753</v>
      </c>
      <c r="S164" s="116">
        <v>1753</v>
      </c>
      <c r="T164" s="116" t="s">
        <v>868</v>
      </c>
      <c r="U164" s="116">
        <v>1753</v>
      </c>
      <c r="V164" s="116" t="s">
        <v>868</v>
      </c>
      <c r="W164" s="128" t="s">
        <v>868</v>
      </c>
      <c r="X164" s="128" t="s">
        <v>868</v>
      </c>
      <c r="Y164" s="128" t="s">
        <v>868</v>
      </c>
      <c r="Z164" s="128" t="s">
        <v>868</v>
      </c>
      <c r="AA164" s="151" t="s">
        <v>868</v>
      </c>
    </row>
    <row r="165" spans="1:27" ht="15" x14ac:dyDescent="0.2">
      <c r="A165" s="113" t="s">
        <v>729</v>
      </c>
      <c r="B165" s="114">
        <v>6519</v>
      </c>
      <c r="C165" s="113" t="s">
        <v>733</v>
      </c>
      <c r="D165" s="113" t="s">
        <v>869</v>
      </c>
      <c r="E165" s="115">
        <v>2032</v>
      </c>
      <c r="F165" s="115">
        <v>2050</v>
      </c>
      <c r="G165" s="115">
        <v>2119</v>
      </c>
      <c r="H165" s="115">
        <v>2119</v>
      </c>
      <c r="I165" s="115">
        <v>2119</v>
      </c>
      <c r="J165" s="115">
        <v>2631</v>
      </c>
      <c r="K165" s="115">
        <v>2327</v>
      </c>
      <c r="L165" s="115">
        <v>2344</v>
      </c>
      <c r="M165" s="115">
        <v>2744</v>
      </c>
      <c r="N165" s="115">
        <v>3793</v>
      </c>
      <c r="O165" s="115">
        <v>2644</v>
      </c>
      <c r="P165" s="115">
        <v>2682.0580306043807</v>
      </c>
      <c r="Q165" s="116">
        <v>2716.3362386001722</v>
      </c>
      <c r="R165" s="116">
        <v>2669</v>
      </c>
      <c r="S165" s="116">
        <v>2698</v>
      </c>
      <c r="T165" s="116">
        <v>2749</v>
      </c>
      <c r="U165" s="116">
        <v>3851.0221004360328</v>
      </c>
      <c r="V165" s="116">
        <v>3873.6507422012969</v>
      </c>
      <c r="W165" s="128">
        <v>3868.7131765762288</v>
      </c>
      <c r="X165" s="128">
        <v>3891.9206444307692</v>
      </c>
      <c r="Y165" s="128">
        <v>3903</v>
      </c>
      <c r="Z165" s="128">
        <v>3931</v>
      </c>
      <c r="AA165" s="151">
        <v>4330.9546486669306</v>
      </c>
    </row>
    <row r="166" spans="1:27" ht="15" x14ac:dyDescent="0.2">
      <c r="A166" s="113" t="s">
        <v>729</v>
      </c>
      <c r="B166" s="114">
        <v>7185</v>
      </c>
      <c r="C166" s="113" t="s">
        <v>735</v>
      </c>
      <c r="D166" s="113" t="s">
        <v>869</v>
      </c>
      <c r="E166" s="115">
        <v>1186</v>
      </c>
      <c r="F166" s="115">
        <v>1278</v>
      </c>
      <c r="G166" s="115">
        <v>800</v>
      </c>
      <c r="H166" s="115">
        <v>819</v>
      </c>
      <c r="I166" s="115">
        <v>819</v>
      </c>
      <c r="J166" s="115">
        <v>819</v>
      </c>
      <c r="K166" s="115">
        <v>819</v>
      </c>
      <c r="L166" s="115">
        <v>819</v>
      </c>
      <c r="M166" s="115">
        <v>819</v>
      </c>
      <c r="N166" s="115">
        <v>679</v>
      </c>
      <c r="O166" s="115">
        <v>1035</v>
      </c>
      <c r="P166" s="115">
        <v>1020.4494037979288</v>
      </c>
      <c r="Q166" s="116">
        <v>932.29539771067311</v>
      </c>
      <c r="R166" s="116">
        <v>876</v>
      </c>
      <c r="S166" s="116">
        <v>1370</v>
      </c>
      <c r="T166" s="116">
        <v>1370</v>
      </c>
      <c r="U166" s="116">
        <v>1095.2470032312249</v>
      </c>
      <c r="V166" s="116">
        <v>921.61028320676246</v>
      </c>
      <c r="W166" s="128">
        <v>856.06896654595391</v>
      </c>
      <c r="X166" s="128">
        <v>823.24036977479932</v>
      </c>
      <c r="Y166" s="128">
        <v>1010</v>
      </c>
      <c r="Z166" s="128">
        <v>1589</v>
      </c>
      <c r="AA166" s="151">
        <v>2279.6953983545159</v>
      </c>
    </row>
    <row r="167" spans="1:27" ht="15" x14ac:dyDescent="0.2">
      <c r="A167" s="113" t="s">
        <v>729</v>
      </c>
      <c r="B167" s="114">
        <v>7799</v>
      </c>
      <c r="C167" s="113" t="s">
        <v>944</v>
      </c>
      <c r="D167" s="113" t="s">
        <v>869</v>
      </c>
      <c r="E167" t="s">
        <v>868</v>
      </c>
      <c r="F167" t="s">
        <v>868</v>
      </c>
      <c r="G167" t="s">
        <v>868</v>
      </c>
      <c r="H167" t="s">
        <v>868</v>
      </c>
      <c r="I167" t="s">
        <v>868</v>
      </c>
      <c r="J167" s="115">
        <v>1242</v>
      </c>
      <c r="K167" s="115">
        <v>1242</v>
      </c>
      <c r="L167" s="115">
        <v>1242</v>
      </c>
      <c r="M167" s="115">
        <v>1242</v>
      </c>
      <c r="N167" s="115">
        <v>693</v>
      </c>
      <c r="O167" s="115" t="s">
        <v>868</v>
      </c>
      <c r="P167" s="115" t="s">
        <v>868</v>
      </c>
      <c r="Q167" s="116"/>
      <c r="R167" s="120" t="s">
        <v>868</v>
      </c>
      <c r="S167" s="120" t="s">
        <v>868</v>
      </c>
      <c r="T167" s="120" t="s">
        <v>868</v>
      </c>
      <c r="U167" s="116" t="s">
        <v>868</v>
      </c>
      <c r="V167" s="116" t="s">
        <v>868</v>
      </c>
      <c r="W167" s="128" t="s">
        <v>868</v>
      </c>
      <c r="X167" s="128" t="s">
        <v>868</v>
      </c>
      <c r="Y167" s="128" t="s">
        <v>868</v>
      </c>
      <c r="Z167" s="128" t="s">
        <v>868</v>
      </c>
      <c r="AA167" s="151" t="s">
        <v>868</v>
      </c>
    </row>
    <row r="168" spans="1:27" ht="15" x14ac:dyDescent="0.2">
      <c r="A168" s="113" t="s">
        <v>729</v>
      </c>
      <c r="B168" s="114">
        <v>8135</v>
      </c>
      <c r="C168" s="113" t="s">
        <v>945</v>
      </c>
      <c r="D168" s="113" t="s">
        <v>869</v>
      </c>
      <c r="E168" s="115">
        <v>5747</v>
      </c>
      <c r="F168" s="115">
        <v>5732</v>
      </c>
      <c r="G168" s="115">
        <v>5753</v>
      </c>
      <c r="H168" s="115">
        <v>11318</v>
      </c>
      <c r="I168" s="115">
        <v>12450</v>
      </c>
      <c r="J168" s="115">
        <v>13103</v>
      </c>
      <c r="K168" s="115">
        <v>14424</v>
      </c>
      <c r="L168" s="115">
        <v>14783</v>
      </c>
      <c r="M168" s="115">
        <v>9542</v>
      </c>
      <c r="N168" s="115">
        <v>15346</v>
      </c>
      <c r="O168" s="115">
        <v>15269</v>
      </c>
      <c r="P168" s="115">
        <v>15343</v>
      </c>
      <c r="Q168" s="116">
        <v>15659</v>
      </c>
      <c r="R168" s="116">
        <v>19734</v>
      </c>
      <c r="S168" s="116">
        <v>19793</v>
      </c>
      <c r="T168" s="116">
        <v>20194</v>
      </c>
      <c r="U168" s="116">
        <v>18495</v>
      </c>
      <c r="V168" s="116">
        <v>22646.684348469778</v>
      </c>
      <c r="W168" s="128">
        <v>20012</v>
      </c>
      <c r="X168" s="128">
        <v>17867</v>
      </c>
      <c r="Y168" s="128">
        <v>16399</v>
      </c>
      <c r="Z168" s="128">
        <v>17133</v>
      </c>
      <c r="AA168" s="151">
        <v>18428</v>
      </c>
    </row>
    <row r="169" spans="1:27" ht="15" x14ac:dyDescent="0.2">
      <c r="A169" s="113" t="s">
        <v>729</v>
      </c>
      <c r="B169" s="114">
        <v>8193</v>
      </c>
      <c r="C169" s="113" t="s">
        <v>741</v>
      </c>
      <c r="D169" s="113" t="s">
        <v>869</v>
      </c>
      <c r="E169" s="115">
        <v>1072</v>
      </c>
      <c r="F169" s="115">
        <v>1155</v>
      </c>
      <c r="G169" s="115">
        <v>930</v>
      </c>
      <c r="H169" s="115">
        <v>933</v>
      </c>
      <c r="I169" s="115">
        <v>983</v>
      </c>
      <c r="J169" s="115">
        <v>983</v>
      </c>
      <c r="K169" s="115">
        <v>1453</v>
      </c>
      <c r="L169" s="115">
        <v>1453</v>
      </c>
      <c r="M169" s="115">
        <v>1453</v>
      </c>
      <c r="N169" t="s">
        <v>868</v>
      </c>
      <c r="O169" s="115" t="s">
        <v>868</v>
      </c>
      <c r="P169" s="115">
        <v>1430</v>
      </c>
      <c r="Q169" s="116">
        <v>1147.7625600000001</v>
      </c>
      <c r="R169" s="116">
        <v>1129</v>
      </c>
      <c r="S169" s="116">
        <v>1142</v>
      </c>
      <c r="T169" s="116">
        <v>1057</v>
      </c>
      <c r="U169" s="116">
        <v>1060.4328</v>
      </c>
      <c r="V169" s="116">
        <v>1169.595</v>
      </c>
      <c r="W169" s="128">
        <v>1169.5950375</v>
      </c>
      <c r="X169" s="128">
        <v>1172.7139530181885</v>
      </c>
      <c r="Y169" s="128">
        <v>1163</v>
      </c>
      <c r="Z169" s="128">
        <v>1179</v>
      </c>
      <c r="AA169" s="151">
        <v>1177.5107913669065</v>
      </c>
    </row>
    <row r="170" spans="1:27" ht="15" x14ac:dyDescent="0.2">
      <c r="A170" s="113" t="s">
        <v>729</v>
      </c>
      <c r="B170" s="114">
        <v>12584</v>
      </c>
      <c r="C170" s="113" t="s">
        <v>744</v>
      </c>
      <c r="D170" s="113" t="s">
        <v>869</v>
      </c>
      <c r="E170" t="s">
        <v>868</v>
      </c>
      <c r="F170" t="s">
        <v>868</v>
      </c>
      <c r="G170" t="s">
        <v>868</v>
      </c>
      <c r="H170" t="s">
        <v>868</v>
      </c>
      <c r="I170" t="s">
        <v>868</v>
      </c>
      <c r="J170" t="s">
        <v>868</v>
      </c>
      <c r="K170" t="s">
        <v>868</v>
      </c>
      <c r="L170" t="s">
        <v>868</v>
      </c>
      <c r="M170" t="s">
        <v>868</v>
      </c>
      <c r="N170" t="s">
        <v>868</v>
      </c>
      <c r="O170" t="s">
        <v>868</v>
      </c>
      <c r="P170" t="s">
        <v>868</v>
      </c>
      <c r="Q170" t="s">
        <v>868</v>
      </c>
      <c r="R170" t="s">
        <v>868</v>
      </c>
      <c r="S170" t="s">
        <v>868</v>
      </c>
      <c r="T170" t="s">
        <v>868</v>
      </c>
      <c r="U170" t="s">
        <v>868</v>
      </c>
      <c r="V170" t="s">
        <v>868</v>
      </c>
      <c r="W170" s="128" t="s">
        <v>868</v>
      </c>
      <c r="X170" s="128">
        <v>204.44651395297205</v>
      </c>
      <c r="Y170" s="128">
        <v>222</v>
      </c>
      <c r="Z170" s="128">
        <v>222</v>
      </c>
      <c r="AA170" s="151">
        <v>510.84995596876627</v>
      </c>
    </row>
    <row r="171" spans="1:27" ht="15" x14ac:dyDescent="0.2">
      <c r="A171" s="113" t="s">
        <v>729</v>
      </c>
      <c r="B171" s="114">
        <v>13005</v>
      </c>
      <c r="C171" s="113" t="s">
        <v>946</v>
      </c>
      <c r="D171" s="113" t="s">
        <v>869</v>
      </c>
      <c r="E171" t="s">
        <v>868</v>
      </c>
      <c r="F171" t="s">
        <v>868</v>
      </c>
      <c r="G171" t="s">
        <v>868</v>
      </c>
      <c r="H171" t="s">
        <v>868</v>
      </c>
      <c r="I171" s="115">
        <v>34461</v>
      </c>
      <c r="J171" s="115">
        <v>42488</v>
      </c>
      <c r="K171" s="115">
        <v>48653</v>
      </c>
      <c r="L171" s="115">
        <v>54024</v>
      </c>
      <c r="M171" s="115">
        <v>57227</v>
      </c>
      <c r="N171" s="115">
        <v>61601</v>
      </c>
      <c r="O171" s="115">
        <v>65882</v>
      </c>
      <c r="P171" s="115">
        <v>64711</v>
      </c>
      <c r="Q171" s="116">
        <v>70298</v>
      </c>
      <c r="R171" s="116">
        <v>77132</v>
      </c>
      <c r="S171" s="116">
        <v>80481</v>
      </c>
      <c r="T171" s="116">
        <v>84083</v>
      </c>
      <c r="U171" s="116">
        <v>87143</v>
      </c>
      <c r="V171" s="116">
        <v>88453</v>
      </c>
      <c r="W171" s="128">
        <v>89679</v>
      </c>
      <c r="X171" s="128">
        <v>91919.708629049768</v>
      </c>
      <c r="Y171" s="128">
        <v>91775</v>
      </c>
      <c r="Z171" s="128">
        <v>90827</v>
      </c>
      <c r="AA171" s="151">
        <v>87750.128187649534</v>
      </c>
    </row>
    <row r="172" spans="1:27" ht="15" x14ac:dyDescent="0.2">
      <c r="A172" s="113" t="s">
        <v>729</v>
      </c>
      <c r="B172" s="114">
        <v>13123</v>
      </c>
      <c r="C172" s="113" t="s">
        <v>748</v>
      </c>
      <c r="D172" s="113" t="s">
        <v>869</v>
      </c>
      <c r="E172" t="s">
        <v>868</v>
      </c>
      <c r="F172" t="s">
        <v>868</v>
      </c>
      <c r="G172" t="s">
        <v>868</v>
      </c>
      <c r="H172" t="s">
        <v>868</v>
      </c>
      <c r="I172" t="s">
        <v>868</v>
      </c>
      <c r="J172" t="s">
        <v>868</v>
      </c>
      <c r="K172" t="s">
        <v>868</v>
      </c>
      <c r="L172" t="s">
        <v>868</v>
      </c>
      <c r="M172" s="115">
        <v>124</v>
      </c>
      <c r="N172" s="115">
        <v>542</v>
      </c>
      <c r="O172" s="115" t="s">
        <v>868</v>
      </c>
      <c r="P172" s="115" t="s">
        <v>868</v>
      </c>
      <c r="Q172" s="116"/>
      <c r="R172" s="120" t="s">
        <v>868</v>
      </c>
      <c r="S172" s="120" t="s">
        <v>868</v>
      </c>
      <c r="T172" s="120" t="s">
        <v>868</v>
      </c>
      <c r="U172" s="116" t="s">
        <v>868</v>
      </c>
      <c r="V172" s="116" t="s">
        <v>868</v>
      </c>
      <c r="W172" s="128" t="s">
        <v>868</v>
      </c>
      <c r="X172" s="128" t="s">
        <v>868</v>
      </c>
      <c r="Y172" s="128" t="s">
        <v>868</v>
      </c>
      <c r="Z172" s="128" t="s">
        <v>868</v>
      </c>
      <c r="AA172" s="151">
        <v>614.76349734654218</v>
      </c>
    </row>
    <row r="173" spans="1:27" ht="15" x14ac:dyDescent="0.2">
      <c r="A173" s="113" t="s">
        <v>729</v>
      </c>
      <c r="B173" s="114">
        <v>20597</v>
      </c>
      <c r="C173" s="113" t="s">
        <v>947</v>
      </c>
      <c r="D173" s="113" t="s">
        <v>869</v>
      </c>
      <c r="E173" t="s">
        <v>868</v>
      </c>
      <c r="F173" t="s">
        <v>868</v>
      </c>
      <c r="G173" t="s">
        <v>868</v>
      </c>
      <c r="H173" t="s">
        <v>868</v>
      </c>
      <c r="I173" t="s">
        <v>868</v>
      </c>
      <c r="J173" t="s">
        <v>868</v>
      </c>
      <c r="K173" t="s">
        <v>868</v>
      </c>
      <c r="L173" t="s">
        <v>868</v>
      </c>
      <c r="M173" t="s">
        <v>868</v>
      </c>
      <c r="N173" t="s">
        <v>868</v>
      </c>
      <c r="O173" t="s">
        <v>868</v>
      </c>
      <c r="P173" t="s">
        <v>868</v>
      </c>
      <c r="Q173" t="s">
        <v>868</v>
      </c>
      <c r="R173" t="s">
        <v>868</v>
      </c>
      <c r="S173" t="s">
        <v>868</v>
      </c>
      <c r="T173" s="116">
        <v>2405</v>
      </c>
      <c r="U173" s="116">
        <v>1831</v>
      </c>
      <c r="V173" s="116">
        <v>1597.9038719105477</v>
      </c>
      <c r="W173" s="128">
        <v>1597.9039547173895</v>
      </c>
      <c r="X173" s="128">
        <v>1595.0026183033797</v>
      </c>
      <c r="Y173" s="128">
        <v>1595</v>
      </c>
      <c r="Z173" s="128">
        <v>1640</v>
      </c>
      <c r="AA173" s="151" t="s">
        <v>868</v>
      </c>
    </row>
    <row r="174" spans="1:27" ht="15" x14ac:dyDescent="0.2">
      <c r="A174" s="113" t="s">
        <v>729</v>
      </c>
      <c r="B174" s="122">
        <v>20721</v>
      </c>
      <c r="C174" t="s">
        <v>750</v>
      </c>
      <c r="D174" s="113" t="s">
        <v>869</v>
      </c>
      <c r="E174" s="116" t="s">
        <v>868</v>
      </c>
      <c r="F174" s="116" t="s">
        <v>868</v>
      </c>
      <c r="G174" s="116" t="s">
        <v>868</v>
      </c>
      <c r="H174" s="116" t="s">
        <v>868</v>
      </c>
      <c r="I174" s="116" t="s">
        <v>868</v>
      </c>
      <c r="J174" s="116" t="s">
        <v>868</v>
      </c>
      <c r="K174" s="116" t="s">
        <v>868</v>
      </c>
      <c r="L174" s="116" t="s">
        <v>868</v>
      </c>
      <c r="M174" s="116" t="s">
        <v>868</v>
      </c>
      <c r="N174" s="116" t="s">
        <v>868</v>
      </c>
      <c r="O174" s="116" t="s">
        <v>868</v>
      </c>
      <c r="P174" s="116" t="s">
        <v>868</v>
      </c>
      <c r="Q174" s="116" t="s">
        <v>868</v>
      </c>
      <c r="R174" s="120" t="s">
        <v>868</v>
      </c>
      <c r="S174" s="120" t="s">
        <v>868</v>
      </c>
      <c r="T174" s="120" t="s">
        <v>868</v>
      </c>
      <c r="U174" s="116" t="s">
        <v>868</v>
      </c>
      <c r="V174" s="116" t="s">
        <v>868</v>
      </c>
      <c r="W174" s="128">
        <v>1835</v>
      </c>
      <c r="X174" s="128">
        <v>8063.6978585867655</v>
      </c>
      <c r="Y174" s="128">
        <v>15966</v>
      </c>
      <c r="Z174" s="128">
        <v>24081</v>
      </c>
      <c r="AA174" s="151">
        <v>25158.3880564705</v>
      </c>
    </row>
    <row r="175" spans="1:27" x14ac:dyDescent="0.2">
      <c r="A175" t="s">
        <v>729</v>
      </c>
      <c r="B175" s="122">
        <v>20901</v>
      </c>
      <c r="C175" t="s">
        <v>752</v>
      </c>
      <c r="D175" t="s">
        <v>869</v>
      </c>
      <c r="E175" s="116" t="s">
        <v>868</v>
      </c>
      <c r="F175" s="116" t="s">
        <v>868</v>
      </c>
      <c r="G175" s="116" t="s">
        <v>868</v>
      </c>
      <c r="H175" s="116" t="s">
        <v>868</v>
      </c>
      <c r="I175" s="116" t="s">
        <v>868</v>
      </c>
      <c r="J175" s="116" t="s">
        <v>868</v>
      </c>
      <c r="K175" s="116" t="s">
        <v>868</v>
      </c>
      <c r="L175" s="116" t="s">
        <v>868</v>
      </c>
      <c r="M175" s="116" t="s">
        <v>868</v>
      </c>
      <c r="N175" s="116" t="s">
        <v>868</v>
      </c>
      <c r="O175" s="116" t="s">
        <v>868</v>
      </c>
      <c r="P175" s="116" t="s">
        <v>868</v>
      </c>
      <c r="Q175" s="116" t="s">
        <v>868</v>
      </c>
      <c r="R175" s="116" t="s">
        <v>868</v>
      </c>
      <c r="S175" s="116" t="s">
        <v>868</v>
      </c>
      <c r="T175" s="116" t="s">
        <v>868</v>
      </c>
      <c r="U175" s="116" t="s">
        <v>868</v>
      </c>
      <c r="V175" s="116" t="s">
        <v>868</v>
      </c>
      <c r="W175" s="116" t="s">
        <v>868</v>
      </c>
      <c r="X175" s="116" t="s">
        <v>868</v>
      </c>
      <c r="Y175" s="116" t="s">
        <v>868</v>
      </c>
      <c r="Z175" s="116" t="s">
        <v>868</v>
      </c>
      <c r="AA175" s="151">
        <v>471.98360613709116</v>
      </c>
    </row>
    <row r="176" spans="1:27" x14ac:dyDescent="0.2">
      <c r="P176" s="98"/>
      <c r="Q176" s="98"/>
    </row>
    <row r="177" spans="16:17" x14ac:dyDescent="0.2">
      <c r="P177" s="98"/>
      <c r="Q177" s="98"/>
    </row>
    <row r="178" spans="16:17" x14ac:dyDescent="0.2">
      <c r="P178" s="98"/>
      <c r="Q178" s="98"/>
    </row>
    <row r="179" spans="16:17" x14ac:dyDescent="0.2">
      <c r="P179" s="98"/>
      <c r="Q179" s="98"/>
    </row>
    <row r="180" spans="16:17" x14ac:dyDescent="0.2">
      <c r="P180" s="98"/>
      <c r="Q180" s="98"/>
    </row>
    <row r="181" spans="16:17" x14ac:dyDescent="0.2">
      <c r="P181" s="98"/>
      <c r="Q181" s="98"/>
    </row>
    <row r="182" spans="16:17" x14ac:dyDescent="0.2">
      <c r="P182" s="98"/>
      <c r="Q182" s="98"/>
    </row>
    <row r="183" spans="16:17" x14ac:dyDescent="0.2">
      <c r="P183" s="98"/>
      <c r="Q183" s="98"/>
    </row>
    <row r="184" spans="16:17" x14ac:dyDescent="0.2">
      <c r="P184" s="98"/>
      <c r="Q184" s="98"/>
    </row>
    <row r="185" spans="16:17" x14ac:dyDescent="0.2">
      <c r="P185" s="98"/>
      <c r="Q185" s="98"/>
    </row>
    <row r="186" spans="16:17" x14ac:dyDescent="0.2">
      <c r="P186" s="98"/>
      <c r="Q186" s="98"/>
    </row>
    <row r="187" spans="16:17" x14ac:dyDescent="0.2">
      <c r="P187" s="98"/>
      <c r="Q187" s="98"/>
    </row>
    <row r="188" spans="16:17" x14ac:dyDescent="0.2">
      <c r="P188" s="98"/>
      <c r="Q188" s="98"/>
    </row>
    <row r="189" spans="16:17" x14ac:dyDescent="0.2">
      <c r="P189" s="98"/>
      <c r="Q189" s="98"/>
    </row>
    <row r="190" spans="16:17" x14ac:dyDescent="0.2">
      <c r="P190" s="98"/>
      <c r="Q190" s="98"/>
    </row>
    <row r="191" spans="16:17" x14ac:dyDescent="0.2">
      <c r="Q191" s="98"/>
    </row>
  </sheetData>
  <autoFilter ref="B4:AA4" xr:uid="{00000000-0001-0000-0800-000000000000}"/>
  <conditionalFormatting sqref="B173:C173">
    <cfRule type="expression" dxfId="0" priority="1">
      <formula>MOD(ROW(),2)=0</formula>
    </cfRule>
  </conditionalFormatting>
  <pageMargins left="0.7" right="0.7" top="0.75" bottom="0.75" header="0.3" footer="0.3"/>
  <pageSetup orientation="portrait" r:id="rId1"/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E484E118ACB140AA889692159E906C" ma:contentTypeVersion="18" ma:contentTypeDescription="Create a new document." ma:contentTypeScope="" ma:versionID="968631f36976a8ae4c450ab506e1bbfd">
  <xsd:schema xmlns:xsd="http://www.w3.org/2001/XMLSchema" xmlns:xs="http://www.w3.org/2001/XMLSchema" xmlns:p="http://schemas.microsoft.com/office/2006/metadata/properties" xmlns:ns2="8c970399-9032-45c2-b900-f7e0c5a70f92" xmlns:ns3="e46e8e99-141b-4c66-93e5-4dc040bf6730" xmlns:ns4="815d3cd6-50d0-453e-a67f-41abee2ff076" xmlns:ns5="233eb243-b4c1-4972-a9a8-49119332e768" targetNamespace="http://schemas.microsoft.com/office/2006/metadata/properties" ma:root="true" ma:fieldsID="db8dc4a2a82f410a087f356e1aa8ce26" ns2:_="" ns3:_="" ns4:_="" ns5:_="">
    <xsd:import namespace="8c970399-9032-45c2-b900-f7e0c5a70f92"/>
    <xsd:import namespace="e46e8e99-141b-4c66-93e5-4dc040bf6730"/>
    <xsd:import namespace="815d3cd6-50d0-453e-a67f-41abee2ff076"/>
    <xsd:import namespace="233eb243-b4c1-4972-a9a8-49119332e768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CollabDesc" minOccurs="0"/>
                <xsd:element ref="ns3:CollabCreate" minOccurs="0"/>
                <xsd:element ref="ns3:CollabModified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4:MediaServiceOCR" minOccurs="0"/>
                <xsd:element ref="ns4:MediaServiceDateTaken" minOccurs="0"/>
                <xsd:element ref="ns4:MediaServiceLocation" minOccurs="0"/>
                <xsd:element ref="ns5:SharedWithUsers" minOccurs="0"/>
                <xsd:element ref="ns5:SharedWithDetails" minOccurs="0"/>
                <xsd:element ref="ns4:lcf76f155ced4ddcb4097134ff3c332f" minOccurs="0"/>
                <xsd:element ref="ns2:TaxCatchAll" minOccurs="0"/>
                <xsd:element ref="ns4:MediaServiceObjectDetectorVersions" minOccurs="0"/>
                <xsd:element ref="ns4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c970399-9032-45c2-b900-f7e0c5a70f92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6" nillable="true" ma:displayName="Taxonomy Catch All Column" ma:hidden="true" ma:list="{e4ced82f-e4ed-4eb9-a2ff-acb87d3b5672}" ma:internalName="TaxCatchAll" ma:showField="CatchAllData" ma:web="8c970399-9032-45c2-b900-f7e0c5a70f9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6e8e99-141b-4c66-93e5-4dc040bf6730" elementFormDefault="qualified">
    <xsd:import namespace="http://schemas.microsoft.com/office/2006/documentManagement/types"/>
    <xsd:import namespace="http://schemas.microsoft.com/office/infopath/2007/PartnerControls"/>
    <xsd:element name="CollabDesc" ma:index="11" nillable="true" ma:displayName="CollabDesc" ma:internalName="CollabDesc">
      <xsd:simpleType>
        <xsd:restriction base="dms:Text">
          <xsd:maxLength value="255"/>
        </xsd:restriction>
      </xsd:simpleType>
    </xsd:element>
    <xsd:element name="CollabCreate" ma:index="12" nillable="true" ma:displayName="CollabCreate" ma:format="DateOnly" ma:internalName="CollabCreate">
      <xsd:simpleType>
        <xsd:restriction base="dms:DateTime"/>
      </xsd:simpleType>
    </xsd:element>
    <xsd:element name="CollabModified" ma:index="13" nillable="true" ma:displayName="CollabModified" ma:format="DateOnly" ma:internalName="CollabModifi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5d3cd6-50d0-453e-a67f-41abee2ff0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1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e213d366-2546-4594-aaa4-9443df5d554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7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8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3eb243-b4c1-4972-a9a8-49119332e768" elementFormDefault="qualified">
    <xsd:import namespace="http://schemas.microsoft.com/office/2006/documentManagement/types"/>
    <xsd:import namespace="http://schemas.microsoft.com/office/infopath/2007/PartnerControls"/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CollabDesc xmlns="e46e8e99-141b-4c66-93e5-4dc040bf6730" xsi:nil="true"/>
    <CollabCreate xmlns="e46e8e99-141b-4c66-93e5-4dc040bf6730" xsi:nil="true"/>
    <CollabModified xmlns="e46e8e99-141b-4c66-93e5-4dc040bf6730" xsi:nil="true"/>
    <TaxCatchAll xmlns="8c970399-9032-45c2-b900-f7e0c5a70f92" xsi:nil="true"/>
    <lcf76f155ced4ddcb4097134ff3c332f xmlns="815d3cd6-50d0-453e-a67f-41abee2ff076">
      <Terms xmlns="http://schemas.microsoft.com/office/infopath/2007/PartnerControls"/>
    </lcf76f155ced4ddcb4097134ff3c332f>
    <_dlc_DocId xmlns="8c970399-9032-45c2-b900-f7e0c5a70f92">SWFD-1714417624-25339</_dlc_DocId>
    <_dlc_DocIdUrl xmlns="8c970399-9032-45c2-b900-f7e0c5a70f92">
      <Url>https://swfwmd.sharepoint.com/sites/SWFWMDSC/WRB/WS/Projects/_layouts/15/DocIdRedir.aspx?ID=SWFD-1714417624-25339</Url>
      <Description>SWFD-1714417624-25339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5.xml>��< ? x m l   v e r s i o n = " 1 . 0 "   e n c o d i n g = " u t f - 1 6 " ? > < D a t a M a s h u p   x m l n s = " h t t p : / / s c h e m a s . m i c r o s o f t . c o m / D a t a M a s h u p " > A A A A A B I D A A B Q S w M E F A A C A A g A b 1 F S U k p G 3 m m i A A A A 9 Q A A A B I A H A B D b 2 5 m a W c v U G F j a 2 F n Z S 5 4 b W w g o h g A K K A U A A A A A A A A A A A A A A A A A A A A A A A A A A A A h Y + x D o I w G I R f h X S n L X U h 5 K c M r p K Y E I 1 r U y o 0 w o + B Y n k 3 B x / J V x C j q J v j 3 X e X 3 N 2 v N 8 i m t g k u p h 9 s h y m J K C e B Q d 2 V F q u U j O 4 Y x i S T s F X 6 p C o T z G E c k m m w K a m d O y e M e e + p X 9 G u r 5 j g P G K H f F P o 2 r Q q t D g 4 h d q Q T 6 v 8 3 y I S 9 q 8 x U t A 4 p o L P k 4 A t H u Q W v 1 z M 7 E l / T F i P j R t 7 I w 2 G u w L Y I o G 9 L 8 g H U E s D B B Q A A g A I A G 9 R U l I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v U V J S K I p H u A 4 A A A A R A A A A E w A c A E Z v c m 1 1 b G F z L 1 N l Y 3 R p b 2 4 x L m 0 g o h g A K K A U A A A A A A A A A A A A A A A A A A A A A A A A A A A A K 0 5 N L s n M z 1 M I h t C G 1 g B Q S w E C L Q A U A A I A C A B v U V J S S k b e a a I A A A D 1 A A A A E g A A A A A A A A A A A A A A A A A A A A A A Q 2 9 u Z m l n L 1 B h Y 2 t h Z 2 U u e G 1 s U E s B A i 0 A F A A C A A g A b 1 F S U g / K 6 a u k A A A A 6 Q A A A B M A A A A A A A A A A A A A A A A A 7 g A A A F t D b 2 5 0 Z W 5 0 X 1 R 5 c G V z X S 5 4 b W x Q S w E C L Q A U A A I A C A B v U V J S K I p H u A 4 A A A A R A A A A E w A A A A A A A A A A A A A A A A D f A Q A A R m 9 y b X V s Y X M v U 2 V j d G l v b j E u b V B L B Q Y A A A A A A w A D A M I A A A A 6 A g A A A A A Q A Q A A 7 7 u / P D 9 4 b W w g d m V y c 2 l v b j 0 i M S 4 w I i B l b m N v Z G l u Z z 0 i d X R m L T g i P z 4 8 U G V y b W l z c 2 l v b k x p c 3 Q g e G 1 s b n M 6 e H N p P S J o d H R w O i 8 v d 3 d 3 L n c z L m 9 y Z y 8 y M D A x L 1 h N T F N j a G V t Y S 1 p b n N 0 Y W 5 j Z S I g e G 1 s b n M 6 e H N k P S J o d H R w O i 8 v d 3 d 3 L n c z L m 9 y Z y 8 y M D A x L 1 h N T F N j a G V t Y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6 X A Q A A A A A A A H U B A A D v u 7 8 8 P 3 h t b C B 2 Z X J z a W 9 u P S I x L j A i I G V u Y 2 9 k a W 5 n P S J 1 d G Y t O C I / P j x M b 2 N h b F B h Y 2 t h Z 2 V N Z X R h Z G F 0 Y U Z p b G U g e G 1 s b n M 6 e H N p P S J o d H R w O i 8 v d 3 d 3 L n c z L m 9 y Z y 8 y M D A x L 1 h N T F N j a G V t Y S 1 p b n N 0 Y W 5 j Z S I g e G 1 s b n M 6 e H N k P S J o d H R w O i 8 v d 3 d 3 L n c z L m 9 y Z y 8 y M D A x L 1 h N T F N j a G V t Y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w v S X R l b X M + P C 9 M b 2 N h b F B h Y 2 t h Z 2 V N Z X R h Z G F 0 Y U Z p b G U + F g A A A F B L B Q Y A A A A A A A A A A A A A A A A A A A A A A A D a A A A A A Q A A A N C M n d 8 B F d E R j H o A w E / C l + s B A A A A 9 G d c 5 Q C k v E y P 6 0 U V t e W A Q g A A A A A C A A A A A A A D Z g A A w A A A A B A A A A D S N z m d o T 5 A U K b l Z j / P 5 R W k A A A A A A S A A A C g A A A A E A A A A K K N N b z M V 5 Y Q e 4 j N l F 9 t o c d Q A A A A 1 t Q / a C r 1 F i G j Q Y W J F R H J i i h z q c N Z J f z u n + R I q D q 7 h t S z U H v O F o s + z 4 d x e k Y F s m l + U a c 2 M C / I H h w 7 K s X I h p o U 3 I 5 I 2 O D j 6 6 v 9 N N u 4 X O n w 7 Y U U A A A A m 1 K k w G Y U + 9 V 0 C e 4 F E N P L B 2 M Q P F 8 = < / D a t a M a s h u p > 
</file>

<file path=customXml/itemProps1.xml><?xml version="1.0" encoding="utf-8"?>
<ds:datastoreItem xmlns:ds="http://schemas.openxmlformats.org/officeDocument/2006/customXml" ds:itemID="{3549134C-9A2D-4BFF-93EF-6F7B726EBAC9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5919D9D2-56CB-460E-9922-9A6ED70185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c970399-9032-45c2-b900-f7e0c5a70f92"/>
    <ds:schemaRef ds:uri="e46e8e99-141b-4c66-93e5-4dc040bf6730"/>
    <ds:schemaRef ds:uri="815d3cd6-50d0-453e-a67f-41abee2ff076"/>
    <ds:schemaRef ds:uri="233eb243-b4c1-4972-a9a8-49119332e76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725A2076-744E-4AE8-A306-21146F3C1A12}">
  <ds:schemaRefs>
    <ds:schemaRef ds:uri="http://purl.org/dc/dcmitype/"/>
    <ds:schemaRef ds:uri="http://schemas.microsoft.com/office/2006/metadata/properties"/>
    <ds:schemaRef ds:uri="e46e8e99-141b-4c66-93e5-4dc040bf6730"/>
    <ds:schemaRef ds:uri="http://purl.org/dc/terms/"/>
    <ds:schemaRef ds:uri="http://schemas.microsoft.com/office/2006/documentManagement/types"/>
    <ds:schemaRef ds:uri="http://schemas.microsoft.com/office/infopath/2007/PartnerControls"/>
    <ds:schemaRef ds:uri="233eb243-b4c1-4972-a9a8-49119332e768"/>
    <ds:schemaRef ds:uri="http://schemas.openxmlformats.org/package/2006/metadata/core-properties"/>
    <ds:schemaRef ds:uri="http://purl.org/dc/elements/1.1/"/>
    <ds:schemaRef ds:uri="815d3cd6-50d0-453e-a67f-41abee2ff076"/>
    <ds:schemaRef ds:uri="8c970399-9032-45c2-b900-f7e0c5a70f92"/>
    <ds:schemaRef ds:uri="http://www.w3.org/XML/1998/namespace"/>
  </ds:schemaRefs>
</ds:datastoreItem>
</file>

<file path=customXml/itemProps4.xml><?xml version="1.0" encoding="utf-8"?>
<ds:datastoreItem xmlns:ds="http://schemas.openxmlformats.org/officeDocument/2006/customXml" ds:itemID="{F6457F57-6D14-41C8-BE09-64807A034E87}">
  <ds:schemaRefs>
    <ds:schemaRef ds:uri="http://schemas.microsoft.com/sharepoint/v3/contenttype/forms"/>
  </ds:schemaRefs>
</ds:datastoreItem>
</file>

<file path=customXml/itemProps5.xml><?xml version="1.0" encoding="utf-8"?>
<ds:datastoreItem xmlns:ds="http://schemas.openxmlformats.org/officeDocument/2006/customXml" ds:itemID="{3E8225FB-059C-49FD-9C79-D1D4F9D5423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253</vt:i4>
      </vt:variant>
    </vt:vector>
  </HeadingPairs>
  <TitlesOfParts>
    <vt:vector size="263" baseType="lpstr">
      <vt:lpstr>PopulationServed</vt:lpstr>
      <vt:lpstr>Index A-Residential Account</vt:lpstr>
      <vt:lpstr>Indexed B-Service Area Summary</vt:lpstr>
      <vt:lpstr>G-Functional Tourist Population</vt:lpstr>
      <vt:lpstr>I-Funtional Net Commuter</vt:lpstr>
      <vt:lpstr>REQPOP 2024</vt:lpstr>
      <vt:lpstr>2024Data to Complete Appendix C</vt:lpstr>
      <vt:lpstr>Total_DU</vt:lpstr>
      <vt:lpstr>Population</vt:lpstr>
      <vt:lpstr>2024_Lodging_by_WUP</vt:lpstr>
      <vt:lpstr>C_A_B</vt:lpstr>
      <vt:lpstr>CGRUPPOP</vt:lpstr>
      <vt:lpstr>CHARLOTTE_CHARLOTTE_COUNTY_UTILITIES_WUP__7104</vt:lpstr>
      <vt:lpstr>CHARLOTTE_CHARLOTTE_HARBOR_WATER_ASSOC._WUP__1512</vt:lpstr>
      <vt:lpstr>CHARLOTTE_CITY_OF_PUNTA_GORDA_UTILITY_DEPT_WUP__871</vt:lpstr>
      <vt:lpstr>CHARLOTTE_EL_JOBEAN_WATER_ASSOC._WUP__99913</vt:lpstr>
      <vt:lpstr>CHARLOTTE_GASPARILLA_ISLAND_WATER_ASSOC._WUP__718</vt:lpstr>
      <vt:lpstr>CHARLOTTE_HOMEOWNERS_OF_ALLIGATOR_PARK_WUP__8626</vt:lpstr>
      <vt:lpstr>CHARLOTTE_ISLAND_HARBOR_BCH_CLUB_LTD___CHAR_WUP__7768</vt:lpstr>
      <vt:lpstr>CHARLOTTE_RIVERWOOD_DEVELOPMENT_WUP__99916</vt:lpstr>
      <vt:lpstr>CHH</vt:lpstr>
      <vt:lpstr>CHOUSUNITS</vt:lpstr>
      <vt:lpstr>CITRUS_BREENBRIAR_ONE_OF_CITRUS_HILLS_OWNERS_ASSOCIATION_INC_WUP__9532</vt:lpstr>
      <vt:lpstr>CITRUS_CITRUS_COUNTY_UTILITIES_WUP__2842</vt:lpstr>
      <vt:lpstr>CITRUS_CITRUS_COUNTY_UTILITIES_WUP__7121</vt:lpstr>
      <vt:lpstr>CITRUS_CITRUS_COUNTY_UTILITIES_WUP__729</vt:lpstr>
      <vt:lpstr>CITRUS_CITRUS_COUNTY_UTILITIES_WUP__7295</vt:lpstr>
      <vt:lpstr>CITRUS_CITRUS_COUNTY_UTILITIES_WUP__7879</vt:lpstr>
      <vt:lpstr>CITRUS_CITRUS_COUNTY_UTILITIES_WUP__9791</vt:lpstr>
      <vt:lpstr>CITRUS_CITY_OF_CRYSTAL_RIVER_WUP__207</vt:lpstr>
      <vt:lpstr>CITRUS_CITY_OF_INVERNESS_WUP__419</vt:lpstr>
      <vt:lpstr>CITRUS_CONSTATE_UTILITIES_WUP__4753</vt:lpstr>
      <vt:lpstr>CITRUS_DAVID_L.__HOLLY_A.__JAMES_L.__PATRICIA_A._COOK_WUP__4008</vt:lpstr>
      <vt:lpstr>CITRUS_FLORAL_CITY_WATER_ASSOCIATION_WUP__1118</vt:lpstr>
      <vt:lpstr>CITRUS_GULF_HIGHWAY_LAND_CORP._WUP__6691</vt:lpstr>
      <vt:lpstr>CITRUS_HOMOSASSA_SPECIAL_WATER_DISTRICT_WUP__4406</vt:lpstr>
      <vt:lpstr>CITRUS_OAK_POND_LLC__A_FLORIDA_LLC_WUP__8147</vt:lpstr>
      <vt:lpstr>CITRUS_OZELLO_WATER_ASSOCIATION_INC_WUP__20230</vt:lpstr>
      <vt:lpstr>CITRUS_ROLLING_OAKS_UTILITIES__INC._WUP__4153</vt:lpstr>
      <vt:lpstr>CITRUS_ROYAL_OAKS_OF_CITRUS_HOA_WUP__1345</vt:lpstr>
      <vt:lpstr>CITRUS_TARAWOOD_OF_FLORAL_CITY_WUP__9097</vt:lpstr>
      <vt:lpstr>CITRUS_WALDEN_WOODS_OF_SUGARMILL_INC._WUP__11839</vt:lpstr>
      <vt:lpstr>COUNTY</vt:lpstr>
      <vt:lpstr>CPOPNHH</vt:lpstr>
      <vt:lpstr>D</vt:lpstr>
      <vt:lpstr>'2024Data to Complete Appendix C'!Database</vt:lpstr>
      <vt:lpstr>DESOTO_CITY_OF_ARCADIA_WUP__4725</vt:lpstr>
      <vt:lpstr>DESOTO_DESOTO_COUNTY_WUP__6841</vt:lpstr>
      <vt:lpstr>DWELLTMINUS1</vt:lpstr>
      <vt:lpstr>DWELLTMINUS2</vt:lpstr>
      <vt:lpstr>DWELLTMINUS3</vt:lpstr>
      <vt:lpstr>DWELLTMINUS4</vt:lpstr>
      <vt:lpstr>E</vt:lpstr>
      <vt:lpstr>FTOURPOP</vt:lpstr>
      <vt:lpstr>HARDEE_CITY_OF_BOWLING_GREEN_MUNICIPAL_WUP__30</vt:lpstr>
      <vt:lpstr>HARDEE_CITY_OF_WAUCHULA_WUP__4461</vt:lpstr>
      <vt:lpstr>HARDEE_HARDEE_COUNTY____WAUCHULA_SPRINGS__PWS_WUP__13026</vt:lpstr>
      <vt:lpstr>HARDEE_MHC_PEACE_RIVER_LLC_WUP__7022</vt:lpstr>
      <vt:lpstr>HARDEE_TOWN_OF_ZOLFO_SPRINGS_WUP__7658</vt:lpstr>
      <vt:lpstr>HERNANDO_CITY_OF_BROOKSVILLE_WUP__7627</vt:lpstr>
      <vt:lpstr>HERNANDO_HERNANDO_COUNTY_WATER_AND_SEWER_WUP__5789</vt:lpstr>
      <vt:lpstr>HERNANDO_MCGIST_INC.___FRONTIER_CAMPGROUD__WUP__3720</vt:lpstr>
      <vt:lpstr>HIGHLANDS_AQUA_UTILITIES_FLORIDA__INC._WUP__4167</vt:lpstr>
      <vt:lpstr>HIGHLANDS_AQUA_UTILITIES_FLORIDA__INC._WUP__6456</vt:lpstr>
      <vt:lpstr>HIGHLANDS_BUTTONWOOD_BAY_UTILITIES_WUP__7139</vt:lpstr>
      <vt:lpstr>HIGHLANDS_CITY_OF_AVON_PARK_WUP__6029</vt:lpstr>
      <vt:lpstr>HIGHLANDS_CITY_OF_SEBRING_WUP__4492</vt:lpstr>
      <vt:lpstr>HIGHLANDS_COUNTRY_CLUB_UTILITIES_WUP__7704</vt:lpstr>
      <vt:lpstr>HIGHLANDS_EAGLE_LAKE_ESTATES_LLC_WUP__9140</vt:lpstr>
      <vt:lpstr>HIGHLANDS_LAKE_PLACID_HOLDING_CO_WUP__4980</vt:lpstr>
      <vt:lpstr>HIGHLANDS_LP_UTILITIES_INC._WUP__9490</vt:lpstr>
      <vt:lpstr>HIGHLANDS_MARANANTHA_BAPTIST_CHURCH_WUP__4670</vt:lpstr>
      <vt:lpstr>HIGHLANDS_SILVER_LAKE_UTILITIES__INC._WUP__13367</vt:lpstr>
      <vt:lpstr>HIGHLANDS_SUN_N_LAKE_OF_SEBRING_WUP__13099</vt:lpstr>
      <vt:lpstr>HIGHLANDS_TOWN_OF_LAKE_PLACID_WUP__5270</vt:lpstr>
      <vt:lpstr>HILLSBOROUGH_ALLIED_UTILITIES___INC._WUP__8986</vt:lpstr>
      <vt:lpstr>HILLSBOROUGH_C_W_UTILITY_SYSTEMS_LLC_WUP__6879</vt:lpstr>
      <vt:lpstr>HILLSBOROUGH_CHARLES_SPRINGER_WUP__2285</vt:lpstr>
      <vt:lpstr>HILLSBOROUGH_CITY_OF_PLANT_CITY_UTILITIES_WUP__1776</vt:lpstr>
      <vt:lpstr>HILLSBOROUGH_CITY_OF_TAMPA_WATER_DEPT_WUP__2062</vt:lpstr>
      <vt:lpstr>HILLSBOROUGH_CITY_OF_TEMPLE_TERRACE_WUP__450</vt:lpstr>
      <vt:lpstr>HILLSBOROUGH_HILLSBOROUGH_COUNTY_UTILITIES_WUP__20141</vt:lpstr>
      <vt:lpstr>HILLSBOROUGH_LITTLE_MANATEE_ISLE_MHP_WUP__2888</vt:lpstr>
      <vt:lpstr>HILLSBOROUGH_MALCO_INDUSTRIES_INC._WUP__7002</vt:lpstr>
      <vt:lpstr>HILLSBOROUGH_PARADISE_LAKES_UTILITY__LLC_WUP__1787</vt:lpstr>
      <vt:lpstr>HILLSBOROUGH_PLURIS_PCU_INC_WUP__12994</vt:lpstr>
      <vt:lpstr>HILLSBOROUGH_RIVERSIDE_GOLF_COURSE_COMM_LLC_WUP__7637</vt:lpstr>
      <vt:lpstr>HILLSBOROUGH_UNIPROP_INCOME_FUND_II__PARADISE_VILLAGE__WUP__7790</vt:lpstr>
      <vt:lpstr>HILLSBOROUGH_UTILITIES__INC._WUP__2707</vt:lpstr>
      <vt:lpstr>HILLSBOROUGH_WILDER_CORPORATION_WUP__4757</vt:lpstr>
      <vt:lpstr>HILLSBOROUGH_WINDEMERE_UTILITY_COMPANY_WUP__10443</vt:lpstr>
      <vt:lpstr>index</vt:lpstr>
      <vt:lpstr>LEVY_CITY_OF_WILLISTON_WUP__5640</vt:lpstr>
      <vt:lpstr>LEVY_OAK_AVENUE_WATER_SYSTEM_WUP__7825</vt:lpstr>
      <vt:lpstr>LEVY_TOWN_OF_INGLIS_WUP__8953</vt:lpstr>
      <vt:lpstr>LEVY_TOWN_OF_YANKEETOWN_WUP__7755</vt:lpstr>
      <vt:lpstr>MANATEE_CITY_OF_BRADENTON_PUBLIC_WORKS_WUP__6392</vt:lpstr>
      <vt:lpstr>MANATEE_CITY_OF_PALMETTO_PUBLIC_WORKS_WUP__12443</vt:lpstr>
      <vt:lpstr>MANATEE_MANATEE_CO_PUBLIC_WORKS_DPT_WUP__13343</vt:lpstr>
      <vt:lpstr>MANATEE_TOWN_OF_LONGBOAT_KEY_WUP__10963</vt:lpstr>
      <vt:lpstr>MARION_BAY_LAUREL_CENTER_COMMUNITY_DEVELOPMENT_DISTRICT_WUP__1156</vt:lpstr>
      <vt:lpstr>MARION_CENTURY_FAIRFIELD_VILLAGE_LTD_WUP__8005</vt:lpstr>
      <vt:lpstr>MARION_CITY_OF_DUNNELLON_WUP__20213</vt:lpstr>
      <vt:lpstr>MARION_CITY_OF_DUNNELLON_WUP__8339</vt:lpstr>
      <vt:lpstr>MARION_FOXWOOD_MOBILE_HOME_PARK_WUP__5731</vt:lpstr>
      <vt:lpstr>MARION_MARION_COUNTY_UTILITIES_WUP__6151</vt:lpstr>
      <vt:lpstr>MARION_MARION_LANDING_HOMEOWNERS_WUP__8020</vt:lpstr>
      <vt:lpstr>MARION_MARION_UTILITIES_INC._WUP__2999</vt:lpstr>
      <vt:lpstr>MARION_MARION_UTILITIES_INC._WUP__6574</vt:lpstr>
      <vt:lpstr>MARION_MARION_UTILITIES_INC._WUP__7849</vt:lpstr>
      <vt:lpstr>MARION_MARION_UTILITIES_INC._WUP__8481</vt:lpstr>
      <vt:lpstr>MARION_ON_TOP_OF_THE_WORLD_INC._WUP__1156</vt:lpstr>
      <vt:lpstr>MARION_SATAKE_VILLAGE_UTILITIES_WUP__20098</vt:lpstr>
      <vt:lpstr>MARION_SOUTH_DUNNELLON_WATER_ASSOCIATION_WUP__10966</vt:lpstr>
      <vt:lpstr>MARION_SUN_COMMUNITIES___SADDLE_OAK_CLUB_MHC_WUP__6792</vt:lpstr>
      <vt:lpstr>MARION_SWEETWATER_OAKS_LTD_WUP__9425</vt:lpstr>
      <vt:lpstr>MARION_UTILITIES__INC._WUP__5643</vt:lpstr>
      <vt:lpstr>PASCO_AQUA_UTILITIES_FLORIDA__INC._WUP__11082</vt:lpstr>
      <vt:lpstr>PASCO_AQUA_UTILITIES_FLORIDA__INC._WUP__279</vt:lpstr>
      <vt:lpstr>PASCO_AQUA_UTILITIES_FLORIDA__INC._WUP__3759</vt:lpstr>
      <vt:lpstr>PASCO_ARBOR_OAKS__MINK_ASSOC.__WUP__99906</vt:lpstr>
      <vt:lpstr>PASCO_C.S._WATER_CO._INC._WUP__964</vt:lpstr>
      <vt:lpstr>PASCO_CAV._HOMEOWNERS_COOPERATIVE__INC._WUP__7588</vt:lpstr>
      <vt:lpstr>PASCO_CITY_OF_DADE_CITY_WUP__1631</vt:lpstr>
      <vt:lpstr>PASCO_CITY_OF_NEW_PORT_RICHEY_WUP__4734</vt:lpstr>
      <vt:lpstr>PASCO_CITY_OF_PORT_RICHEY_WUP__3692</vt:lpstr>
      <vt:lpstr>PASCO_CITY_OF_SAN_ANTONIO_WUP__4550</vt:lpstr>
      <vt:lpstr>PASCO_CITY_OF_ZEPHYRHILLS_WUP__6040</vt:lpstr>
      <vt:lpstr>PASCO_COUNTRY_AIRE_SERVICE_CORPORATION_WUP__3619</vt:lpstr>
      <vt:lpstr>PASCO_CRESTRIDGE_UTILITY_CORPORATION_WUP__543</vt:lpstr>
      <vt:lpstr>PASCO_FLORIDA_GOVERNMENTAL_UTILITY_AUTHORITY_WUP__2319</vt:lpstr>
      <vt:lpstr>PASCO_FLORIDA_GOVERNMENTAL_UTILITY_AUTHORITY_WUP__2978</vt:lpstr>
      <vt:lpstr>PASCO_FLORIDA_GOVERNMENTAL_UTILITY_AUTHORITY_WUP__3182</vt:lpstr>
      <vt:lpstr>PASCO_FLORIDA_GOVERNMENTAL_UTILITY_AUTHORITY_WUP__3677</vt:lpstr>
      <vt:lpstr>PASCO_FLORIDA_GOVERNMENTAL_UTILITY_AUTHORITY_WUP__590</vt:lpstr>
      <vt:lpstr>PASCO_FLORIDA_GOVERNMENTAL_UTILITY_AUTHORITY_WUP__6223</vt:lpstr>
      <vt:lpstr>PASCO_FLORIDA_GOVERNMENTAL_UTILITY_AUTHORITY_WUP__7718</vt:lpstr>
      <vt:lpstr>PASCO_FLORIDA_GOVERNMENTAL_UTILITY_AUTHORITY_WUP__7745</vt:lpstr>
      <vt:lpstr>PASCO_FLORIDA_GOVERNMENTAL_UTILITY_AUTHORITY_WUP__7999</vt:lpstr>
      <vt:lpstr>PASCO_FLORIDA_GOVERNMENTAL_UTILITY_AUTHORITY_WUP__8417</vt:lpstr>
      <vt:lpstr>PASCO_GEM_ESTATES_WUP__6640</vt:lpstr>
      <vt:lpstr>PASCO_HACIENDA_UTILITIES_LTD_WUP__5953</vt:lpstr>
      <vt:lpstr>PASCO_HOLIDAY_GARDENS_UTILITIES__INC._WUP__540</vt:lpstr>
      <vt:lpstr>PASCO_HUDSON_WATER_WORKS__INC._WUP__4669</vt:lpstr>
      <vt:lpstr>PASCO_JEFFERY_A._COLE_WUP__6982</vt:lpstr>
      <vt:lpstr>PASCO_ORCHID_LAKE_UTILITIES_WUP__99915</vt:lpstr>
      <vt:lpstr>PASCO_PARRISH_PROPERTIES_V_LLC_WUP__8491</vt:lpstr>
      <vt:lpstr>PASCO_PASCO_COUNTY_UTILITIES_WUP__11863</vt:lpstr>
      <vt:lpstr>PASCO_SOUTHFORK_MOBILE_HOME_COMM_WUP__9666</vt:lpstr>
      <vt:lpstr>PASCO_TIPPECANOE_VILLAGE_HOMEOWNERS_WUP__3528</vt:lpstr>
      <vt:lpstr>PASCO_TRAVLERS_REST_RESORT_INC._WUP__923</vt:lpstr>
      <vt:lpstr>PASCO_UTILITIES__INC._WUP__3590</vt:lpstr>
      <vt:lpstr>PASCO_UTILITIES__INC._WUP__4668</vt:lpstr>
      <vt:lpstr>PASCO_UTILITIES__INC._WUP__6867</vt:lpstr>
      <vt:lpstr>PERMPPH</vt:lpstr>
      <vt:lpstr>PINELLAS_CITY_OF_CLEARWATER_WATER_DIV_WUP__2981</vt:lpstr>
      <vt:lpstr>PINELLAS_CITY_OF_DUNEDIN_WUP__2980</vt:lpstr>
      <vt:lpstr>PINELLAS_CITY_OF_GULFPORT_WUP__10795</vt:lpstr>
      <vt:lpstr>PINELLAS_CITY_OF_OLDSMAR_WUP__11218</vt:lpstr>
      <vt:lpstr>PINELLAS_CITY_OF_PINELLAS_PARK_WUP__12351</vt:lpstr>
      <vt:lpstr>PINELLAS_CITY_OF_SAFETY_HARBOR_WUP__11245</vt:lpstr>
      <vt:lpstr>PINELLAS_CITY_OF_ST._PETERSBURG_WUP__20143</vt:lpstr>
      <vt:lpstr>PINELLAS_CITY_OF_TARPON_SPRINGS_WUP__742</vt:lpstr>
      <vt:lpstr>PINELLAS_PINELLAS_COUNTY_UTILITIES_WUP__20142</vt:lpstr>
      <vt:lpstr>PINELLAS_TOWN_OF_BELLEAIR_WUP__7692</vt:lpstr>
      <vt:lpstr>PINELLAS_UTILITIES__INC._WUP__10350</vt:lpstr>
      <vt:lpstr>POLK_ALAFIA_PRESERVE__EAGLE_RIDGE__AND_DONALDSON_KNOLL_WUP__12964</vt:lpstr>
      <vt:lpstr>POLK_AQUA_UTILITIES_FLORIDA__INC._WUP__7653</vt:lpstr>
      <vt:lpstr>POLK_AQUA_UTILITIES_FLORIDA__INC._WUP__7878</vt:lpstr>
      <vt:lpstr>POLK_AQUA_UTILITIES_FLORIDA__INC._WUP__9336</vt:lpstr>
      <vt:lpstr>POLK_CAREFREE_RV_COUNTRY_CLUB_WUP__7328</vt:lpstr>
      <vt:lpstr>POLK_CHCVII__LAKE_HENRY_MHP_WUP__7187</vt:lpstr>
      <vt:lpstr>POLK_CITY_OF_AUBURNDALE_WUP__7119</vt:lpstr>
      <vt:lpstr>POLK_CITY_OF_BARTOW_WUP__341</vt:lpstr>
      <vt:lpstr>POLK_CITY_OF_DAVENPORT_WUP__5750</vt:lpstr>
      <vt:lpstr>POLK_CITY_OF_EAGLE_LAKE_WUP__6920</vt:lpstr>
      <vt:lpstr>POLK_CITY_OF_FORT_MEADE_WUP__645</vt:lpstr>
      <vt:lpstr>POLK_CITY_OF_FROSTPROOF_WUP__5870</vt:lpstr>
      <vt:lpstr>POLK_CITY_OF_HAINES_CITY_WUP__8522</vt:lpstr>
      <vt:lpstr>POLK_CITY_OF_LAKE_ALFRED_WUP__6624</vt:lpstr>
      <vt:lpstr>POLK_CITY_OF_LAKE_WALES_WUP__4658</vt:lpstr>
      <vt:lpstr>POLK_CITY_OF_LAKELAND_ELECTRIC_AND_WATER_WUP__4912</vt:lpstr>
      <vt:lpstr>POLK_CITY_OF_MULBERRY_WUP__6124</vt:lpstr>
      <vt:lpstr>POLK_CITY_OF_POLK_CITY_WUP__8468</vt:lpstr>
      <vt:lpstr>POLK_CITY_OF_WINTER_HAVEN_WUP__4607</vt:lpstr>
      <vt:lpstr>POLK_CMH_PARKS_INC_WUP__4441</vt:lpstr>
      <vt:lpstr>POLK_CMH_PARKS_INC_WUP__7333</vt:lpstr>
      <vt:lpstr>POLK_FOUR_LAKES_MOBILE_HOME_PARK_WUP__1625</vt:lpstr>
      <vt:lpstr>POLK_GRENELEFE_RESORT_UTILITY__INC._WUP__5251</vt:lpstr>
      <vt:lpstr>POLK_KEEN_UTILITIES_WUP__2083</vt:lpstr>
      <vt:lpstr>POLK_KEEN_UTILITIES_WUP__3214</vt:lpstr>
      <vt:lpstr>POLK_KEEN_UTILITIES_WUP__6679</vt:lpstr>
      <vt:lpstr>POLK_KEEN_UTILITIES_WUP__9569</vt:lpstr>
      <vt:lpstr>POLK_LAKE_REGION_MOBILE_HOMEOWNERS_WUP__1616</vt:lpstr>
      <vt:lpstr>POLK_LAKEMONT_RIDGE_LLC_WUP__7557</vt:lpstr>
      <vt:lpstr>POLK_LELYNN_RV_RESORT_WUP__587</vt:lpstr>
      <vt:lpstr>POLK_MOUNTAIN_LAKE_CORPORATION_WUP__143</vt:lpstr>
      <vt:lpstr>POLK_MOUSE_MOUNTAIN_RV_RESORT_WUP__8285</vt:lpstr>
      <vt:lpstr>POLK_ORCHID_SPRINGS_DEVELOPMENT_WUP__3415</vt:lpstr>
      <vt:lpstr>POLK_PARK_WATER_COMPANY_WUP__4005</vt:lpstr>
      <vt:lpstr>POLK_PINECREST_RANCHES_WUP__9128</vt:lpstr>
      <vt:lpstr>POLK_PLANTATION_LANDINGS_MHP_WUP__8753</vt:lpstr>
      <vt:lpstr>POLK_POLK_COUNTY_UTILITIES_WUP__10141</vt:lpstr>
      <vt:lpstr>POLK_POLK_COUNTY_UTILITIES_WUP__6505</vt:lpstr>
      <vt:lpstr>POLK_POLK_COUNTY_UTILITIES_WUP__6506</vt:lpstr>
      <vt:lpstr>POLK_POLK_COUNTY_UTILITIES_WUP__6507</vt:lpstr>
      <vt:lpstr>POLK_POLK_COUNTY_UTILITIES_WUP__6508</vt:lpstr>
      <vt:lpstr>POLK_POLK_COUNTY_UTILITIES_WUP__6509</vt:lpstr>
      <vt:lpstr>POLK_POLK_COUNTY_UTILITIES_WUP__8054</vt:lpstr>
      <vt:lpstr>POLK_S._V._UTILITIES__LTD._WUP__8344</vt:lpstr>
      <vt:lpstr>POLK_SADDLEBAG_LAKE_OWNERS_WUP__6174</vt:lpstr>
      <vt:lpstr>POLK_SCENIC_VIEW_MOBILE_HOME_PARK_WUP__2410</vt:lpstr>
      <vt:lpstr>POLK_SKYVIEW_UTILITIES_WUP__99905</vt:lpstr>
      <vt:lpstr>POLK_SPRV_LTD_WUP__9557</vt:lpstr>
      <vt:lpstr>POLK_SWEETWATER_CO_OP_WUP__8967</vt:lpstr>
      <vt:lpstr>POLK_SWEETWATER_EAST_INVESTMENT_CO_WUP__2449</vt:lpstr>
      <vt:lpstr>POLK_TEVALO_INC_WUP__7172</vt:lpstr>
      <vt:lpstr>POLK_THREE_WORLDS_LIMITED_PARTNERSHIP_WUP__8399</vt:lpstr>
      <vt:lpstr>POLK_TOWN_OF_DUNDEE_WUP__5893</vt:lpstr>
      <vt:lpstr>POLK_TOWN_OF_LAKE_HAMILTON_WUP__2332</vt:lpstr>
      <vt:lpstr>POLK_UTILITIES__INC._WUP__13043</vt:lpstr>
      <vt:lpstr>POLK_VAN_LAKES_HOMEOWNERS_ASSOCIATION_WUP__9835</vt:lpstr>
      <vt:lpstr>POLK_VILLAGE_OF_HIGHLAND_PARK_WUP__9807</vt:lpstr>
      <vt:lpstr>POLK_WHISPERING_PINES_OF_FROSTPROOF_LLC_WUP__6208</vt:lpstr>
      <vt:lpstr>POPTMINUS1</vt:lpstr>
      <vt:lpstr>POPTMINUS2</vt:lpstr>
      <vt:lpstr>POPTMINUS3</vt:lpstr>
      <vt:lpstr>POPTMINUS4</vt:lpstr>
      <vt:lpstr>'G-Functional Tourist Population'!Print_Area</vt:lpstr>
      <vt:lpstr>'Index A-Residential Account'!Print_Area</vt:lpstr>
      <vt:lpstr>PopulationServed!Print_Area</vt:lpstr>
      <vt:lpstr>'G-Functional Tourist Population'!Print_Titles</vt:lpstr>
      <vt:lpstr>ROOMS</vt:lpstr>
      <vt:lpstr>SARASOTA_CAMELOT_COMMUNITIES_MHP_LLC_WUP__5807</vt:lpstr>
      <vt:lpstr>SARASOTA_CITY_OF_NORTH_PORT_WUP__2923</vt:lpstr>
      <vt:lpstr>SARASOTA_CITY_OF_SARASOTA_WUP__4318</vt:lpstr>
      <vt:lpstr>SARASOTA_CITY_OF_VENICE_WUP__5393</vt:lpstr>
      <vt:lpstr>SARASOTA_ENGLEWOOD_WATER_DISTRICT_WUP__4866</vt:lpstr>
      <vt:lpstr>SARASOTA_JEROME___FREDERICK_ELLIS_WUP__5456</vt:lpstr>
      <vt:lpstr>SARASOTA_PLURIS_SOUTH_GATE_UTILITIES_WUP__99914</vt:lpstr>
      <vt:lpstr>SARASOTA_ROYALTY_RESORTS_CORPORATION_WUP__7448</vt:lpstr>
      <vt:lpstr>SARASOTA_SARASOTA_COUNTY_BOCC_UTILITIES_DEPARTMENT_WUP__8836</vt:lpstr>
      <vt:lpstr>SEARCH_FIELD</vt:lpstr>
      <vt:lpstr>SEAS_TOTHH</vt:lpstr>
      <vt:lpstr>SEASADJ</vt:lpstr>
      <vt:lpstr>SEASHH</vt:lpstr>
      <vt:lpstr>SEASPPH</vt:lpstr>
      <vt:lpstr>SEASPROP</vt:lpstr>
      <vt:lpstr>SEASRR</vt:lpstr>
      <vt:lpstr>SUMTER_CEDAR_ACRES_INC._WUP__7799</vt:lpstr>
      <vt:lpstr>SUMTER_CITY_OF_BUSHNELL_WUP__6519</vt:lpstr>
      <vt:lpstr>SUMTER_CITY_OF_CENTER_HILL_WUP__8193</vt:lpstr>
      <vt:lpstr>SUMTER_CITY_OF_COLEMAN_WUP__10488</vt:lpstr>
      <vt:lpstr>SUMTER_CITY_OF_WEBSTER_WUP__7185</vt:lpstr>
      <vt:lpstr>SUMTER_CITY_OF_WILDWOOD_WUP__8135</vt:lpstr>
      <vt:lpstr>SUMTER_FLORIDA_GRANDE_MOTOR_COACH_RESORT_WUP__13123</vt:lpstr>
      <vt:lpstr>SUMTER_GIBSON_PLACE_UTILITY_COMPANY_LLC_WUP__20901</vt:lpstr>
      <vt:lpstr>SUMTER_LAKE_PANASOFFKEE_WATER_ASSOCIATION_WUP__1368</vt:lpstr>
      <vt:lpstr>SUMTER_THE_VILLAGES_COMBINED_WUP__13005</vt:lpstr>
      <vt:lpstr>UniqueID</vt:lpstr>
      <vt:lpstr>Utility_Name</vt:lpstr>
      <vt:lpstr>WUP</vt:lpstr>
      <vt:lpstr>Year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Ryan Pearson</dc:creator>
  <cp:keywords/>
  <dc:description/>
  <cp:lastModifiedBy>Kaitlyn Maze</cp:lastModifiedBy>
  <cp:revision/>
  <dcterms:created xsi:type="dcterms:W3CDTF">2004-11-15T21:54:08Z</dcterms:created>
  <dcterms:modified xsi:type="dcterms:W3CDTF">2025-03-26T14:07:32Z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0x010100C1E484E118ACB140AA889692159E906C</vt:lpwstr>
  </property>
  <property fmtid="{D5CDD505-2E9C-101B-9397-08002B2CF9AE}" pid="3" name="_dlc_DocIdItemGuid">
    <vt:lpwstr>2a1ac370-d384-4958-b81d-fab827492fbe</vt:lpwstr>
  </property>
  <property fmtid="{D5CDD505-2E9C-101B-9397-08002B2CF9AE}" pid="4" name="MediaServiceImageTags">
    <vt:lpwstr/>
  </property>
</Properties>
</file>