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/>
  <mc:AlternateContent xmlns:mc="http://schemas.openxmlformats.org/markup-compatibility/2006">
    <mc:Choice Requires="x15">
      <x15ac:absPath xmlns:x15ac="http://schemas.microsoft.com/office/spreadsheetml/2010/11/ac" url="L:\WSRD\DEMOGRAPHY\Public_Supply_Annual_Report\2022\Functional Population\"/>
    </mc:Choice>
  </mc:AlternateContent>
  <xr:revisionPtr revIDLastSave="0" documentId="13_ncr:1_{1C18D777-603D-4F51-99D8-4446F735205C}" xr6:coauthVersionLast="47" xr6:coauthVersionMax="47" xr10:uidLastSave="{00000000-0000-0000-0000-000000000000}"/>
  <bookViews>
    <workbookView xWindow="-120" yWindow="-120" windowWidth="29040" windowHeight="15840" xr2:uid="{3EE666C8-6C73-4E8D-8FA7-CEEB80B5393F}"/>
  </bookViews>
  <sheets>
    <sheet name="PopulationServed" sheetId="65" r:id="rId1"/>
    <sheet name="Index A-Residential Account" sheetId="62" r:id="rId2"/>
    <sheet name="Indexed B-Service Area Summary" sheetId="60" r:id="rId3"/>
    <sheet name="G-Functional Tourist Population" sheetId="63" r:id="rId4"/>
    <sheet name="I-Funtional Net Commuter" sheetId="64" r:id="rId5"/>
    <sheet name="REQPOP 2022" sheetId="39" r:id="rId6"/>
    <sheet name="2022Data to Complete Appendix C" sheetId="66" r:id="rId7"/>
    <sheet name="Total_DU" sheetId="67" r:id="rId8"/>
    <sheet name="Population" sheetId="68" r:id="rId9"/>
    <sheet name="2022LodgingbyWUP" sheetId="69" r:id="rId10"/>
  </sheets>
  <externalReferences>
    <externalReference r:id="rId11"/>
  </externalReferences>
  <definedNames>
    <definedName name="_xlnm._FilterDatabase" localSheetId="6" hidden="1">'2022Data to Complete Appendix C'!$A$7:$Q$315</definedName>
    <definedName name="_xlnm._FilterDatabase" localSheetId="8" hidden="1">Population!$A$4:$X$174</definedName>
    <definedName name="_xlnm._FilterDatabase" localSheetId="5" hidden="1">'REQPOP 2022'!$A$6:$T$230</definedName>
    <definedName name="_xlnm._FilterDatabase" localSheetId="7" hidden="1">Total_DU!$A$4:$Y$170</definedName>
    <definedName name="A194_">[1]Form_Feed!$GM$5:$GM$162</definedName>
    <definedName name="A195_">[1]Form_Feed!$GN$5:$GN$162</definedName>
    <definedName name="A196_">[1]Form_Feed!$GO$5:$GO$162</definedName>
    <definedName name="A197_">[1]Form_Feed!$GP$5:$GP$162</definedName>
    <definedName name="A43_">[1]Form_Feed!$AR$5:$AR$162</definedName>
    <definedName name="C_A_B">'REQPOP 2022'!$S$7:$S$230</definedName>
    <definedName name="CGRUPPOP">'REQPOP 2022'!$H$7:$H$230</definedName>
    <definedName name="CHARLOTTE_CHARLOTTE_COUNTY_UTILITIES_WUP__3522">'REQPOP 2022'!$C$10:$AC$10</definedName>
    <definedName name="CHARLOTTE_CHARLOTTE_COUNTY_UTILITIES_WUP__7104">'REQPOP 2022'!$C$11:$AC$11</definedName>
    <definedName name="CHARLOTTE_CHARLOTTE_HARBOR_WATER_ASSOC._WUP__1512">'REQPOP 2022'!$C$9:$AC$9</definedName>
    <definedName name="CHARLOTTE_CITY_OF_PUNTA_GORDA_UTILITY_DEPT_WUP__871">'REQPOP 2022'!$C$8:$AC$8</definedName>
    <definedName name="CHARLOTTE_EL_JOBEAN_WATER_ASSOC._WUP__99913">'REQPOP 2022'!$C$14:$AC$14</definedName>
    <definedName name="CHARLOTTE_GASPARILLA_ISLAND_WATER_ASSOC._WUP__718">'REQPOP 2022'!$C$7:$AC$7</definedName>
    <definedName name="CHARLOTTE_HOMEOWNERS_OF_ALLIGATOR_PARK_WUP__8626">'REQPOP 2022'!$C$13:$AC$13</definedName>
    <definedName name="CHARLOTTE_ISLAND_HARBOR_BCH_CLUB_LTD___CHAR_WUP__7768">'REQPOP 2022'!$C$12:$AC$12</definedName>
    <definedName name="CHARLOTTE_RIVERWOOD_DEVELOPMENT_WUP__99916">'REQPOP 2022'!$C$15:$AC$15</definedName>
    <definedName name="CHH">'REQPOP 2022'!$G$7:$G$230</definedName>
    <definedName name="CHOUSUNITS">'REQPOP 2022'!$I$7:$I$230</definedName>
    <definedName name="CITRUS_BREENBRIAR_ONE_OF_CITRUS_HILLS_OWNERS_ASSOCIATION_INC_WUP__9532">'REQPOP 2022'!$C$32:$AC$32</definedName>
    <definedName name="CITRUS_CITRUS_COUNTY_UTILITIES_WUP__2842">'REQPOP 2022'!$C$21:$AC$21</definedName>
    <definedName name="CITRUS_CITRUS_COUNTY_UTILITIES_WUP__6291">'REQPOP 2022'!#REF!</definedName>
    <definedName name="CITRUS_CITRUS_COUNTY_UTILITIES_WUP__7121">'REQPOP 2022'!$C$27:$AC$27</definedName>
    <definedName name="CITRUS_CITRUS_COUNTY_UTILITIES_WUP__729">'REQPOP 2022'!$C$18:$AC$18</definedName>
    <definedName name="CITRUS_CITRUS_COUNTY_UTILITIES_WUP__7295">'REQPOP 2022'!$C$28:$AC$28</definedName>
    <definedName name="CITRUS_CITRUS_COUNTY_UTILITIES_WUP__7879">'REQPOP 2022'!$C$29:$AC$29</definedName>
    <definedName name="CITRUS_CITRUS_COUNTY_UTILITIES_WUP__9791">'REQPOP 2022'!$C$33:$AC$33</definedName>
    <definedName name="CITRUS_CITY_OF_CRYSTAL_RIVER_WUP__207">'REQPOP 2022'!$C$16:$AC$16</definedName>
    <definedName name="CITRUS_CITY_OF_INVERNESS_WUP__419">'REQPOP 2022'!$C$17:$AC$17</definedName>
    <definedName name="CITRUS_CONSTATE_UTILITIES_WUP__4753">'REQPOP 2022'!$C$25:$AC$25</definedName>
    <definedName name="CITRUS_DAVID_L.__HOLLY_A.__JAMES_L.__PATRICIA_A._COOK_WUP__4008">'REQPOP 2022'!$C$22:$AC$22</definedName>
    <definedName name="CITRUS_FLORAL_CITY_WATER_ASSOCIATION_WUP__1118">'REQPOP 2022'!$C$19:$AC$19</definedName>
    <definedName name="CITRUS_GULF_HIGHWAY_LAND_CORP._WUP__6691">'REQPOP 2022'!$C$26:$AC$26</definedName>
    <definedName name="CITRUS_HOMOSASSA_SPECIAL_WATER_DISTRICT_WUP__4406">'REQPOP 2022'!$C$24:$AC$24</definedName>
    <definedName name="CITRUS_OAK_POND_LLC__A_FLORIDA_LLC_WUP__8147">'REQPOP 2022'!$C$30:$AC$30</definedName>
    <definedName name="CITRUS_OZELLO_WATER_ASSOCIATION_INC_WUP__20230">'REQPOP 2022'!$C$35:$AC$35</definedName>
    <definedName name="CITRUS_ROLLING_OAKS_UTILITIES__INC._WUP__4153">'REQPOP 2022'!$C$23:$AC$23</definedName>
    <definedName name="CITRUS_ROYAL_OAKS_OF_CITRUS_HOA_WUP__1345">'REQPOP 2022'!$C$20:$AC$20</definedName>
    <definedName name="CITRUS_TARAWOOD_OF_FLORAL_CITY_WUP__9097">'REQPOP 2022'!$C$31:$AC$31</definedName>
    <definedName name="CITRUS_WALDEN_WOODS_OF_SUGARMILL_INC._WUP__11839">'REQPOP 2022'!$C$34:$AC$34</definedName>
    <definedName name="COUNTY">'REQPOP 2022'!$A$7:$A$230</definedName>
    <definedName name="CPOPNHH">'REQPOP 2022'!$F$7:$F$230</definedName>
    <definedName name="D">'REQPOP 2022'!$Q$7:$Q$230</definedName>
    <definedName name="_xlnm.Database" localSheetId="6">'2022Data to Complete Appendix C'!$A$7:$Q$239</definedName>
    <definedName name="_xlnm.Database">#REF!</definedName>
    <definedName name="DESOTO_AQUA_UTILITIES_FLORIDA__INC._WUP__99912">'REQPOP 2022'!#REF!</definedName>
    <definedName name="DESOTO_CITY_OF_ARCADIA_WUP__4725">'REQPOP 2022'!$C$36:$AC$36</definedName>
    <definedName name="DESOTO_DESOTO_COUNTY_WUP__6841">'REQPOP 2022'!$C$37:$AC$37</definedName>
    <definedName name="DWELLTMINUS1">'REQPOP 2022'!$Y$7:$Y$230</definedName>
    <definedName name="DWELLTMINUS2">'REQPOP 2022'!$X$7:$X$230</definedName>
    <definedName name="DWELLTMINUS3">'REQPOP 2022'!$W$7:$W$230</definedName>
    <definedName name="DWELLTMINUS4">'REQPOP 2022'!$V$7:$V$230</definedName>
    <definedName name="E">'REQPOP 2022'!$R$7:$R$230</definedName>
    <definedName name="FTOURPOP">'REQPOP 2022'!$U$7:$U$230</definedName>
    <definedName name="HARDEE_CITY_OF_BOWLING_GREEN_MUNICIPAL_WUP__30">'REQPOP 2022'!$C$38:$AC$38</definedName>
    <definedName name="HARDEE_CITY_OF_WAUCHULA_WUP__4461">'REQPOP 2022'!$C$39:$AC$39</definedName>
    <definedName name="HARDEE_HARDEE_COUNTY____WAUCHULA_SPRINGS__PWS_WUP__13026">'REQPOP 2022'!$C$42:$AC$42</definedName>
    <definedName name="HARDEE_MHC_PEACE_RIVER_LLC_WUP__7022">'REQPOP 2022'!$C$40:$AC$40</definedName>
    <definedName name="HARDEE_TOWN_OF_ZOLFO_SPRINGS_WUP__7658">'REQPOP 2022'!$C$41:$AC$41</definedName>
    <definedName name="HERNANDO_CITY_OF_BROOKSVILLE_WUP__7627">'REQPOP 2022'!$C$45:$AC$45</definedName>
    <definedName name="HERNANDO_HERNANDO_COUNTY_WATER_AND_SEWER_WUP__12011">'REQPOP 2022'!#REF!</definedName>
    <definedName name="HERNANDO_HERNANDO_COUNTY_WATER_AND_SEWER_WUP__13286">'REQPOP 2022'!#REF!</definedName>
    <definedName name="HERNANDO_HERNANDO_COUNTY_WATER_AND_SEWER_WUP__2179">'REQPOP 2022'!#REF!</definedName>
    <definedName name="HERNANDO_HERNANDO_COUNTY_WATER_AND_SEWER_WUP__2983">'REQPOP 2022'!#REF!</definedName>
    <definedName name="HERNANDO_HERNANDO_COUNTY_WATER_AND_SEWER_WUP__5789">'REQPOP 2022'!$C$44:$AC$44</definedName>
    <definedName name="HERNANDO_HERNANDO_COUNTY_WATER_AND_SEWER_WUP__5817">'REQPOP 2022'!#REF!</definedName>
    <definedName name="HERNANDO_MCGIST_INC.___FRONTIER_CAMPGROUD__WUP__3720">'REQPOP 2022'!$C$43:$AC$43</definedName>
    <definedName name="HIGHLANDS_AQUA_UTILITIES_FLORIDA__INC._WUP__4167">'REQPOP 2022'!$C$46:$AC$46</definedName>
    <definedName name="HIGHLANDS_AQUA_UTILITIES_FLORIDA__INC._WUP__6456">'REQPOP 2022'!$C$52:$AC$52</definedName>
    <definedName name="HIGHLANDS_BUTTONWOOD_BAY_UTILITIES_WUP__7139">'REQPOP 2022'!$C$53:$AC$53</definedName>
    <definedName name="HIGHLANDS_CITY_OF_AVON_PARK_WUP__6029">'REQPOP 2022'!$C$51:$AC$51</definedName>
    <definedName name="HIGHLANDS_CITY_OF_SEBRING_WUP__4492">'REQPOP 2022'!$C$47:$AC$47</definedName>
    <definedName name="HIGHLANDS_COUNTRY_CLUB_UTILITIES_WUP__7704">'REQPOP 2022'!$C$54:$AC$54</definedName>
    <definedName name="HIGHLANDS_EAGLE_LAKE_ESTATES_LLC_WUP__9140">'REQPOP 2022'!$C$55:$AC$55</definedName>
    <definedName name="HIGHLANDS_HIGHLANDS_CO.__BOCC_WUP__11609">'REQPOP 2022'!#REF!</definedName>
    <definedName name="HIGHLANDS_HIGHLANDS_CO.__BOCC_WUP__6326">'REQPOP 2022'!#REF!</definedName>
    <definedName name="HIGHLANDS_LAKE_PLACID_HOLDING_CO_WUP__4980">'REQPOP 2022'!$C$49:$AC$49</definedName>
    <definedName name="HIGHLANDS_LP_UTILITIES_INC._WUP__9490">'REQPOP 2022'!$C$56:$AC$56</definedName>
    <definedName name="HIGHLANDS_MARANANTHA_BAPTIST_CHURCH_WUP__4670">'REQPOP 2022'!$C$48:$AC$48</definedName>
    <definedName name="HIGHLANDS_SILVER_LAKE_UTILITIES__INC._WUP__13367">'REQPOP 2022'!$C$58:$AC$58</definedName>
    <definedName name="HIGHLANDS_SUN_N_LAKE_OF_SEBRING_WUP__13099">'REQPOP 2022'!$C$57:$AC$57</definedName>
    <definedName name="HIGHLANDS_TOWN_OF_LAKE_PLACID_WUP__11609">'REQPOP 2022'!#REF!</definedName>
    <definedName name="HIGHLANDS_TOWN_OF_LAKE_PLACID_WUP__5270">'REQPOP 2022'!$C$50:$AC$50</definedName>
    <definedName name="HIGHLANDS_TOWN_OF_LAKE_PLACID_WUP__6326">'REQPOP 2022'!#REF!</definedName>
    <definedName name="HILLSBOROUGH_ALLIED_UTILITIES___INC._WUP__8986">'REQPOP 2022'!$C$71:$AC$71</definedName>
    <definedName name="HILLSBOROUGH_C_W_UTILITY_SYSTEMS_LLC_WUP__6879">'REQPOP 2022'!$C$67:$AC$67</definedName>
    <definedName name="HILLSBOROUGH_CHARLES_SPRINGER_WUP__2285">'REQPOP 2022'!$C$63:$AC$63</definedName>
    <definedName name="HILLSBOROUGH_CITY_OF_PLANT_CITY_UTILITIES_WUP__1776">'REQPOP 2022'!$C$60:$AC$60</definedName>
    <definedName name="HILLSBOROUGH_CITY_OF_TAMPA_WATER_DEPT_WUP__2062">'REQPOP 2022'!$C$62:$AC$62</definedName>
    <definedName name="HILLSBOROUGH_CITY_OF_TEMPLE_TERRACE_WUP__450">'REQPOP 2022'!$C$59:$AC$59</definedName>
    <definedName name="HILLSBOROUGH_HILLSBOROUGH_COUNTY_UTILITIES_WUP__20141">'REQPOP 2022'!$C$74:$AC$74</definedName>
    <definedName name="HILLSBOROUGH_LITTLE_MANATEE_ISLE_MHP_WUP__2888">'REQPOP 2022'!$C$65:$AC$65</definedName>
    <definedName name="HILLSBOROUGH_MALCO_INDUSTRIES_INC._WUP__7002">'REQPOP 2022'!$C$68:$AC$68</definedName>
    <definedName name="HILLSBOROUGH_PARADISE_LAKES_UTILITY__LLC_WUP__1787">'REQPOP 2022'!$C$61:$AC$61</definedName>
    <definedName name="HILLSBOROUGH_PLURIS_PCU_INC_WUP__12994">'REQPOP 2022'!$C$73:$AC$73</definedName>
    <definedName name="HILLSBOROUGH_RIVERSIDE_GOLF_COURSE_COMM_LLC_WUP__7637">'REQPOP 2022'!$C$69:$AC$69</definedName>
    <definedName name="HILLSBOROUGH_UNIPROP_INCOME_FUND_II__PARADISE_VILLAGE__WUP__7790">'REQPOP 2022'!$C$70:$AC$70</definedName>
    <definedName name="HILLSBOROUGH_UTILITIES__INC._WUP__2707">'REQPOP 2022'!$C$64:$AC$64</definedName>
    <definedName name="HILLSBOROUGH_WILDER_CORPORATION_WUP__4757">'REQPOP 2022'!$C$66:$AC$66</definedName>
    <definedName name="HILLSBOROUGH_WINDEMERE_UTILITY_COMPANY_WUP__10443">'REQPOP 2022'!$C$72:$AC$72</definedName>
    <definedName name="index">PopulationServed!$I$1</definedName>
    <definedName name="LEVY_CITY_OF_WILLISTON_WUP__5640">'REQPOP 2022'!$C$75:$AC$75</definedName>
    <definedName name="LEVY_OAK_AVENUE_WATER_SYSTEM_WUP__7825">'REQPOP 2022'!$C$77:$AC$77</definedName>
    <definedName name="LEVY_TOWN_OF_INGLIS_WUP__8953">'REQPOP 2022'!$C$78:$AC$78</definedName>
    <definedName name="LEVY_TOWN_OF_YANKEETOWN_WUP__7755">'REQPOP 2022'!$C$76:$AC$76</definedName>
    <definedName name="MANATEE_CITY_OF_BRADENTON_PUBLIC_WORKS_WUP__6392">'REQPOP 2022'!$C$79:$AC$79</definedName>
    <definedName name="MANATEE_CITY_OF_PALMETTO_PUBLIC_WORKS_WUP__12443">'REQPOP 2022'!$C$81:$AC$81</definedName>
    <definedName name="MANATEE_MANATEE_CO_PUBLIC_WORKS_DPT_WUP__13343">'REQPOP 2022'!$C$82:$AC$82</definedName>
    <definedName name="MANATEE_TOWN_OF_LONGBOAT_KEY_WUP__10963">'REQPOP 2022'!$C$80:$AC$80</definedName>
    <definedName name="MARION_BAY_LAUREL_CENTER_COMMUNITY_DEVELOPMENT_DISTRICT_WUP__1156">'REQPOP 2022'!$C$83:$U$83</definedName>
    <definedName name="MARION_CENTURY_FAIRFIELD_VILLAGE_LTD_WUP__8005">'REQPOP 2022'!$C$92:$AC$92</definedName>
    <definedName name="MARION_CITY_OF_DUNNELLON_WUP__20213">'REQPOP 2022'!$C$99:$AC$99</definedName>
    <definedName name="MARION_CITY_OF_DUNNELLON_WUP__8339">'REQPOP 2022'!$C$94:$AC$94</definedName>
    <definedName name="MARION_FOXWOOD_MOBILE_HOME_PARK_WUP__5731">'REQPOP 2022'!$C$86:$AC$86</definedName>
    <definedName name="MARION_MARION_COUNTY_UTILITIES_WUP__6151">'REQPOP 2022'!$C$88:$AC$88</definedName>
    <definedName name="MARION_MARION_LANDING_HOMEOWNERS_WUP__8020">'REQPOP 2022'!$C$93:$AC$93</definedName>
    <definedName name="MARION_MARION_UTILITIES_INC._WUP__2999">'REQPOP 2022'!$C$84:$AC$84</definedName>
    <definedName name="MARION_MARION_UTILITIES_INC._WUP__6574">'REQPOP 2022'!$C$89:$AC$89</definedName>
    <definedName name="MARION_MARION_UTILITIES_INC._WUP__7849">'REQPOP 2022'!$C$91:$AC$91</definedName>
    <definedName name="MARION_MARION_UTILITIES_INC._WUP__8481">'REQPOP 2022'!$C$95:$AC$95</definedName>
    <definedName name="MARION_ON_TOP_OF_THE_WORLD_INC._WUP__1156">'REQPOP 2022'!$C$83:$AC$83</definedName>
    <definedName name="MARION_SATAKE_VILLAGE_UTILITIES_WUP__20098">'REQPOP 2022'!$C$98:$AC$98</definedName>
    <definedName name="MARION_SOUTH_DUNNELLON_WATER_ASSOCIATION_WUP__10966">'REQPOP 2022'!$C$97:$AC$97</definedName>
    <definedName name="MARION_SUN_COMMUNITIES___SADDLE_OAK_CLUB_MHC_WUP__6792">'REQPOP 2022'!$C$90:$AC$90</definedName>
    <definedName name="MARION_SWEETWATER_OAKS_LTD_WUP__9425">'REQPOP 2022'!$C$96:$AC$96</definedName>
    <definedName name="MARION_UTILITIES__INC._WUP__5643">'REQPOP 2022'!$C$85:$AC$85</definedName>
    <definedName name="MARION_WINDSTREAM_UTILITIES_WUP__9360">'REQPOP 2022'!#REF!</definedName>
    <definedName name="PASCO_AQUA_UTILITIES_FLORIDA__INC._WUP__11082">'REQPOP 2022'!$C$135:$AC$135</definedName>
    <definedName name="PASCO_AQUA_UTILITIES_FLORIDA__INC._WUP__279">'REQPOP 2022'!$C$100:$AC$100</definedName>
    <definedName name="PASCO_AQUA_UTILITIES_FLORIDA__INC._WUP__3759">'REQPOP 2022'!$C$116:$AC$116</definedName>
    <definedName name="PASCO_ARBOR_OAKS__MINK_ASSOC.__WUP__99906">'REQPOP 2022'!$C$137:$AC$137</definedName>
    <definedName name="PASCO_C.S._WATER_CO._INC._WUP__964">'REQPOP 2022'!$C$105:$AC$105</definedName>
    <definedName name="PASCO_CAV._HOMEOWNERS_COOPERATIVE__INC._WUP__7588">'REQPOP 2022'!$C$128:$AC$128</definedName>
    <definedName name="PASCO_CITY_OF_DADE_CITY_WUP__1631">'REQPOP 2022'!$C$106:$AC$106</definedName>
    <definedName name="PASCO_CITY_OF_NEW_PORT_RICHEY_WUP__4734">'REQPOP 2022'!$C$120:$AC$120</definedName>
    <definedName name="PASCO_CITY_OF_PORT_RICHEY_WUP__3692">'REQPOP 2022'!$C$115:$AC$115</definedName>
    <definedName name="PASCO_CITY_OF_SAN_ANTONIO_WUP__4550">'REQPOP 2022'!$C$117:$AC$117</definedName>
    <definedName name="PASCO_CITY_OF_ZEPHYRHILLS_WUP__6040">'REQPOP 2022'!$C$122:$AC$122</definedName>
    <definedName name="PASCO_COUNTRY_AIRE_SERVICE_CORPORATION_WUP__3619">'REQPOP 2022'!$C$113:$AC$113</definedName>
    <definedName name="PASCO_CRESTRIDGE_UTILITY_CORPORATION_WUP__543">'REQPOP 2022'!$C$102:$AC$102</definedName>
    <definedName name="PASCO_FLORIDA_GOVERNMENTAL_UTILITY_AUTHORITY_WUP__2319">'REQPOP 2022'!$C$108:$AC$108</definedName>
    <definedName name="PASCO_FLORIDA_GOVERNMENTAL_UTILITY_AUTHORITY_WUP__2978">'REQPOP 2022'!$C$109:$AC$109</definedName>
    <definedName name="PASCO_FLORIDA_GOVERNMENTAL_UTILITY_AUTHORITY_WUP__3182">'REQPOP 2022'!$C$110:$AC$110</definedName>
    <definedName name="PASCO_FLORIDA_GOVERNMENTAL_UTILITY_AUTHORITY_WUP__3677">'REQPOP 2022'!$C$114:$AC$114</definedName>
    <definedName name="PASCO_FLORIDA_GOVERNMENTAL_UTILITY_AUTHORITY_WUP__590">'REQPOP 2022'!$C$103:$AC$103</definedName>
    <definedName name="PASCO_FLORIDA_GOVERNMENTAL_UTILITY_AUTHORITY_WUP__6223">'REQPOP 2022'!$C$123:$AC$123</definedName>
    <definedName name="PASCO_FLORIDA_GOVERNMENTAL_UTILITY_AUTHORITY_WUP__7718">'REQPOP 2022'!$C$129:$AC$129</definedName>
    <definedName name="PASCO_FLORIDA_GOVERNMENTAL_UTILITY_AUTHORITY_WUP__7745">'REQPOP 2022'!$C$130:$AC$130</definedName>
    <definedName name="PASCO_FLORIDA_GOVERNMENTAL_UTILITY_AUTHORITY_WUP__7999">'REQPOP 2022'!$C$131:$AC$131</definedName>
    <definedName name="PASCO_FLORIDA_GOVERNMENTAL_UTILITY_AUTHORITY_WUP__8417">'REQPOP 2022'!$C$132:$AC$132</definedName>
    <definedName name="PASCO_GEM_ESTATES_WUP__6640">'REQPOP 2022'!$C$124:$AC$124</definedName>
    <definedName name="PASCO_HACIENDA_UTILITIES_LTD_WUP__5953">'REQPOP 2022'!$C$121:$AC$121</definedName>
    <definedName name="PASCO_HOLIDAY_GARDENS_UTILITIES__INC._WUP__540">'REQPOP 2022'!$C$101:$AC$101</definedName>
    <definedName name="PASCO_HUDSON_WATER_WORKS__INC._WUP__4669">'REQPOP 2022'!$C$119:$AC$119</definedName>
    <definedName name="PASCO_JEFFERY_A._COLE_WUP__6982">'REQPOP 2022'!$C$126:$AC$126</definedName>
    <definedName name="PASCO_L.W.V._UTILITIES__INC._WUP__7299">'REQPOP 2022'!$C$127:$AC$127</definedName>
    <definedName name="PASCO_ORANGEWOOD_LAKES_MOBILE_HOME_WUP__2043">'REQPOP 2022'!$C$107:$AC$107</definedName>
    <definedName name="PASCO_ORCHID_LAKE_UTILITIES_WUP__99915">'REQPOP 2022'!$C$138:$AC$138</definedName>
    <definedName name="PASCO_PARRISH_PROPERTIES_V_LLC_WUP__8491">'REQPOP 2022'!$C$133:$AC$133</definedName>
    <definedName name="PASCO_PASCO_COUNTY_UTILITIES_WUP__11863">'REQPOP 2022'!$C$136:$AC$136</definedName>
    <definedName name="PASCO_SOUTHFORK_MOBILE_HOME_COMM_WUP__9666">'REQPOP 2022'!$C$134:$AC$134</definedName>
    <definedName name="PASCO_TIPPECANOE_VILLAGE_HOMEOWNERS_WUP__3528">'REQPOP 2022'!$C$111:$AC$111</definedName>
    <definedName name="PASCO_TRAVLERS_REST_RESORT_INC._WUP__923">'REQPOP 2022'!$C$104:$AC$104</definedName>
    <definedName name="PASCO_UTILITIES__INC._WUP__3590">'REQPOP 2022'!$C$112:$AC$112</definedName>
    <definedName name="PASCO_UTILITIES__INC._WUP__3668">'REQPOP 2022'!#REF!</definedName>
    <definedName name="PASCO_UTILITIES__INC._WUP__4668">'REQPOP 2022'!$C$118:$AC$118</definedName>
    <definedName name="PASCO_UTILITIES__INC._WUP__6867">'REQPOP 2022'!$C$125:$AC$125</definedName>
    <definedName name="PERMPPH">'REQPOP 2022'!$J$7:$J$230</definedName>
    <definedName name="PINELLAS_CITY_OF_CLEARWATER_WATER_DIV_WUP__2981">'REQPOP 2022'!$C$141:$AC$141</definedName>
    <definedName name="PINELLAS_CITY_OF_DUNEDIN_WUP__2980">'REQPOP 2022'!$C$140:$AC$140</definedName>
    <definedName name="PINELLAS_CITY_OF_GULFPORT_WUP__10795">'REQPOP 2022'!$C$144:$AC$144</definedName>
    <definedName name="PINELLAS_CITY_OF_OLDSMAR_WUP__11218">'REQPOP 2022'!$C$145:$AC$145</definedName>
    <definedName name="PINELLAS_CITY_OF_PINELLAS_PARK_WUP__12351">'REQPOP 2022'!$C$147:$AC$147</definedName>
    <definedName name="PINELLAS_CITY_OF_SAFETY_HARBOR_WUP__11245">'REQPOP 2022'!$C$146:$AC$146</definedName>
    <definedName name="PINELLAS_CITY_OF_ST._PETERSBURG_WUP__20143">'REQPOP 2022'!$C$149:$AC$149</definedName>
    <definedName name="PINELLAS_CITY_OF_TARPON_SPRINGS_WUP__742">'REQPOP 2022'!$C$139:$AC$139</definedName>
    <definedName name="PINELLAS_PINELLAS_COUNTY_UTILITIES_WUP__20142">'REQPOP 2022'!$C$148:$AC$148</definedName>
    <definedName name="PINELLAS_TOWN_OF_BELLEAIR_WUP__7692">'REQPOP 2022'!$C$142:$AC$142</definedName>
    <definedName name="PINELLAS_UTILITIES__INC._WUP__10350">'REQPOP 2022'!$C$143:$AC$143</definedName>
    <definedName name="POLK_ALAFIA_PRESERVE__EAGLE_RIDGE__AND_DONALDSON_KNOLL_WUP__12964">'REQPOP 2022'!$C$207:$AC$207</definedName>
    <definedName name="POLK_AQUA_UTILITIES_FLORIDA__INC._WUP__7653">'REQPOP 2022'!$C$189:$AC$189</definedName>
    <definedName name="POLK_AQUA_UTILITIES_FLORIDA__INC._WUP__7878">'REQPOP 2022'!$C$190:$AC$190</definedName>
    <definedName name="POLK_AQUA_UTILITIES_FLORIDA__INC._WUP__9336">'REQPOP 2022'!$C$200:$AC$200</definedName>
    <definedName name="POLK_CAREFREE_RV_COUNTRY_CLUB_WUP__7328">'REQPOP 2022'!$C$186:$AC$186</definedName>
    <definedName name="POLK_CHCVII__LAKE_HENRY_MHP_WUP__7187">'REQPOP 2022'!$C$185:$AC$185</definedName>
    <definedName name="POLK_CITY_OF_AUBURNDALE_WUP__7119">'REQPOP 2022'!$C$183:$AC$183</definedName>
    <definedName name="POLK_CITY_OF_BARTOW_WUP__341">'REQPOP 2022'!$C$151:$AC$151</definedName>
    <definedName name="POLK_CITY_OF_DAVENPORT_WUP__5750">'REQPOP 2022'!$C$168:$AC$168</definedName>
    <definedName name="POLK_CITY_OF_EAGLE_LAKE_WUP__6920">'REQPOP 2022'!$C$182:$AC$182</definedName>
    <definedName name="POLK_CITY_OF_FORT_MEADE_WUP__645">'REQPOP 2022'!$C$153:$AC$153</definedName>
    <definedName name="POLK_CITY_OF_FROSTPROOF_WUP__5870">'REQPOP 2022'!$C$170:$AC$170</definedName>
    <definedName name="POLK_CITY_OF_HAINES_CITY_WUP__8522">'REQPOP 2022'!$C$196:$AC$196</definedName>
    <definedName name="POLK_CITY_OF_LAKE_ALFRED_WUP__6624">'REQPOP 2022'!$C$180:$AC$180</definedName>
    <definedName name="POLK_CITY_OF_LAKE_WALES_WUP__4658">'REQPOP 2022'!$C$165:$AC$165</definedName>
    <definedName name="POLK_CITY_OF_LAKELAND_ELECTRIC_AND_WATER_WUP__4912">'REQPOP 2022'!$C$166:$AC$166</definedName>
    <definedName name="POLK_CITY_OF_MULBERRY_WUP__6124">'REQPOP 2022'!$C$172:$AC$172</definedName>
    <definedName name="POLK_CITY_OF_POLK_CITY_WUP__8468">'REQPOP 2022'!$C$195:$AC$195</definedName>
    <definedName name="POLK_CITY_OF_WINTER_HAVEN_WUP__4607">'REQPOP 2022'!$C$164:$AC$164</definedName>
    <definedName name="POLK_CMH_PARKS_INC_WUP__4441">'REQPOP 2022'!$C$163:$AC$163</definedName>
    <definedName name="POLK_CMH_PARKS_INC_WUP__7333">'REQPOP 2022'!$C$187:$AC$187</definedName>
    <definedName name="POLK_FOUR_LAKES_MOBILE_HOME_PARK_WUP__1625">'REQPOP 2022'!$C$155:$AC$155</definedName>
    <definedName name="POLK_GRENELEFE_RESORT_UTILITY__INC._WUP__5251">'REQPOP 2022'!$C$167:$AC$167</definedName>
    <definedName name="POLK_KEEN_UTILITIES_WUP__2083">'REQPOP 2022'!$C$156:$AC$156</definedName>
    <definedName name="POLK_KEEN_UTILITIES_WUP__3214">'REQPOP 2022'!$C$160:$AC$160</definedName>
    <definedName name="POLK_KEEN_UTILITIES_WUP__6679">'REQPOP 2022'!$C$181:$AC$181</definedName>
    <definedName name="POLK_KEEN_UTILITIES_WUP__9569">'REQPOP 2022'!$C$202:$AC$202</definedName>
    <definedName name="POLK_LAKE_REGION_MOBILE_HOMEOWNERS_WUP__1616">'REQPOP 2022'!$C$154:$AC$154</definedName>
    <definedName name="POLK_LAKEMONT_RIDGE_LLC_WUP__7557">'REQPOP 2022'!$C$188:$AC$188</definedName>
    <definedName name="POLK_LELYNN_RV_RESORT_WUP__587">'REQPOP 2022'!$C$152:$AC$152</definedName>
    <definedName name="POLK_MOUNTAIN_LAKE_CORPORATION_WUP__143">'REQPOP 2022'!$C$150:$AC$150</definedName>
    <definedName name="POLK_MOUSE_MOUNTAIN_RV_RESORT_WUP__8285">'REQPOP 2022'!$C$192:$AC$192</definedName>
    <definedName name="POLK_ORCHID_SPRINGS_DEVELOPMENT_WUP__3415">'REQPOP 2022'!$C$161:$AC$161</definedName>
    <definedName name="POLK_PARK_WATER_COMPANY_WUP__4005">'REQPOP 2022'!$C$162:$AC$162</definedName>
    <definedName name="POLK_PINECREST_RANCHES_WUP__9128">'REQPOP 2022'!$C$199:$AC$199</definedName>
    <definedName name="POLK_PLANTATION_LANDINGS_MHP_WUP__8753">'REQPOP 2022'!$C$197:$AC$197</definedName>
    <definedName name="POLK_POLK_COUNTY_UTILITIES_WUP__10141">'REQPOP 2022'!$C$205:$AC$205</definedName>
    <definedName name="POLK_POLK_COUNTY_UTILITIES_WUP__6505">'REQPOP 2022'!$C$175:$AC$175</definedName>
    <definedName name="POLK_POLK_COUNTY_UTILITIES_WUP__6506">'REQPOP 2022'!$C$176:$AC$176</definedName>
    <definedName name="POLK_POLK_COUNTY_UTILITIES_WUP__6507">'REQPOP 2022'!$C$177:$AC$177</definedName>
    <definedName name="POLK_POLK_COUNTY_UTILITIES_WUP__6508">'REQPOP 2022'!$C$178:$AC$178</definedName>
    <definedName name="POLK_POLK_COUNTY_UTILITIES_WUP__6509">'REQPOP 2022'!$C$179:$AC$179</definedName>
    <definedName name="POLK_POLK_COUNTY_UTILITIES_WUP__8054">'REQPOP 2022'!$C$191:$AC$191</definedName>
    <definedName name="POLK_S._V._UTILITIES__LTD._WUP__8344">'REQPOP 2022'!$C$193:$AC$193</definedName>
    <definedName name="POLK_SADDLEBAG_LAKE_OWNERS_WUP__6174">'REQPOP 2022'!$C$173:$AC$173</definedName>
    <definedName name="POLK_SCENIC_VIEW_MOBILE_HOME_PARK_WUP__2410">'REQPOP 2022'!$C$158:$AC$158</definedName>
    <definedName name="POLK_SKYVIEW_UTILITIES_WUP__99905">'REQPOP 2022'!$C$209:$AC$209</definedName>
    <definedName name="POLK_SPRV_LTD_WUP__9557">'REQPOP 2022'!$C$201:$AC$201</definedName>
    <definedName name="POLK_SWEETWATER_CO_OP_WUP__8967">'REQPOP 2022'!$C$198:$AC$198</definedName>
    <definedName name="POLK_SWEETWATER_EAST_INVESTMENT_CO_WUP__2449">'REQPOP 2022'!$C$159:$AC$159</definedName>
    <definedName name="POLK_TEVALO_INC_WUP__7172">'REQPOP 2022'!$C$184:$AC$184</definedName>
    <definedName name="POLK_THREE_WORLDS_LIMITED_PARTNERSHIP_WUP__8399">'REQPOP 2022'!$C$194:$AC$194</definedName>
    <definedName name="POLK_TOWN_OF_DUNDEE_WUP__5893">'REQPOP 2022'!$C$171:$AC$171</definedName>
    <definedName name="POLK_TOWN_OF_LAKE_HAMILTON_WUP__2332">'REQPOP 2022'!$C$157:$AC$157</definedName>
    <definedName name="POLK_UTILITIES__INC._WUP__13043">'REQPOP 2022'!$C$208:$AC$208</definedName>
    <definedName name="POLK_VAN_LAKES_HOMEOWNERS_ASSOCIATION_WUP__9835">'REQPOP 2022'!$C$204:$AC$204</definedName>
    <definedName name="POLK_VILLAGE_OF_HIGHLAND_PARK_WUP__9807">'REQPOP 2022'!$C$203:$AC$203</definedName>
    <definedName name="POLK_WHISPERING_PINES_OF_FROSTPROOF_LLC_WUP__6208">'REQPOP 2022'!$C$174:$AC$174</definedName>
    <definedName name="POPTMINUS1">'REQPOP 2022'!$AC$7:$AC$230</definedName>
    <definedName name="POPTMINUS2">'REQPOP 2022'!$AB$7:$AB$230</definedName>
    <definedName name="POPTMINUS3">'REQPOP 2022'!$AA$7:$AA$230</definedName>
    <definedName name="POPTMINUS4">'REQPOP 2022'!$Z$7:$Z$230</definedName>
    <definedName name="_xlnm.Print_Area" localSheetId="3">'G-Functional Tourist Population'!$A$1:$G$100</definedName>
    <definedName name="_xlnm.Print_Area" localSheetId="1">'Index A-Residential Account'!$A$1:$M$58</definedName>
    <definedName name="_xlnm.Print_Area" localSheetId="0">PopulationServed!$A$1:$I$75</definedName>
    <definedName name="_xlnm.Print_Titles" localSheetId="3">'G-Functional Tourist Population'!$1:$6</definedName>
    <definedName name="ROOMS">'REQPOP 2022'!$T$7:$T$230</definedName>
    <definedName name="SARASOTA_AQUA_UTILITIES_FLORIDA__INC._WUP__11748">'REQPOP 2022'!#REF!</definedName>
    <definedName name="SARASOTA_CAMELOT_COMMUNITIES_MHP_LLC_WUP__5807">'REQPOP 2022'!$C$215:$AC$215</definedName>
    <definedName name="SARASOTA_CITY_OF_NORTH_PORT_WUP__2923">'REQPOP 2022'!$C$210:$AC$210</definedName>
    <definedName name="SARASOTA_CITY_OF_SARASOTA_WUP__4318">'REQPOP 2022'!$C$211:$AC$211</definedName>
    <definedName name="SARASOTA_CITY_OF_VENICE_WUP__5393">'REQPOP 2022'!$C$213:$AC$213</definedName>
    <definedName name="SARASOTA_ENGLEWOOD_WATER_DISTRICT_WUP__4866">'REQPOP 2022'!$C$212:$AC$212</definedName>
    <definedName name="SARASOTA_JEROME___FREDERICK_ELLIS_WUP__5456">'REQPOP 2022'!$C$214:$AC$214</definedName>
    <definedName name="SARASOTA_PALMER_ENTERPRISES_WUP__9638">'REQPOP 2022'!#REF!</definedName>
    <definedName name="SARASOTA_PLURIS_SOUTH_GATE_UTILITIES_WUP__99914">'REQPOP 2022'!$C$218:$AC$218</definedName>
    <definedName name="SARASOTA_ROYALTY_RESORTS_CORPORATION_WUP__7448">'REQPOP 2022'!$C$216:$AC$216</definedName>
    <definedName name="SARASOTA_SARASOTA_COUNTY_BOCC_UTILITIES_DEPARTMENT_WUP__8836">'REQPOP 2022'!$C$217:$AC$217</definedName>
    <definedName name="SEARCH_FIELD">'REQPOP 2022'!$C$7:$AC$230</definedName>
    <definedName name="SEAS_TOTHH">'REQPOP 2022'!$N$7:$N$230</definedName>
    <definedName name="SEASADJ">'REQPOP 2022'!$P$7:$P$230</definedName>
    <definedName name="SEASHH">'REQPOP 2022'!$M$7:$M$230</definedName>
    <definedName name="SEASPPH">'REQPOP 2022'!$K$7:$K$230</definedName>
    <definedName name="SEASPROP">'REQPOP 2022'!$O$7:$O$230</definedName>
    <definedName name="SEASRR">'REQPOP 2022'!$L$7:$L$230</definedName>
    <definedName name="SUMTER_CEDAR_ACRES_INC._WUP__7799">'REQPOP 2022'!$C$222:$AC$222</definedName>
    <definedName name="SUMTER_CITY_OF_BUSHNELL_WUP__6519">'REQPOP 2022'!$C$220:$AC$220</definedName>
    <definedName name="SUMTER_CITY_OF_CENTER_HILL_WUP__8193">'REQPOP 2022'!$C$224:$AC$224</definedName>
    <definedName name="SUMTER_CITY_OF_COLEMAN_WUP__10488">'REQPOP 2022'!$C$225:$AC$225</definedName>
    <definedName name="SUMTER_CITY_OF_WEBSTER_WUP__7185">'REQPOP 2022'!$C$221:$AC$221</definedName>
    <definedName name="SUMTER_CITY_OF_WILDWOOD_WUP__8135">'REQPOP 2022'!$C$223:$AC$223</definedName>
    <definedName name="SUMTER_CONTINENTAL_COUNTRY_CLUB_WUP__2622">'REQPOP 2022'!#REF!</definedName>
    <definedName name="SUMTER_FLORIDA_GRANDE_MOTOR_COACH_RESORT_WUP__13123">'REQPOP 2022'!$C$230:$AC$230</definedName>
    <definedName name="SUMTER_LAKE_PANASOFFKEE_WATER_ASSOCIATION_WUP__1368">'REQPOP 2022'!$C$219:$AC$219</definedName>
    <definedName name="SUMTER_THE_VILLAGES_COMBINED_WUP__13005">'REQPOP 2022'!$C$227:$AC$227</definedName>
    <definedName name="UniqueID">'REQPOP 2022'!$A$7:$S$230</definedName>
    <definedName name="Utility_Name">'REQPOP 2022'!$C$7:$C$230</definedName>
    <definedName name="WUP">'REQPOP 2022'!$D$7:$D$230</definedName>
    <definedName name="Year">'REQPOP 2022'!$E$7:$E$230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8" i="39" l="1"/>
  <c r="W8" i="39"/>
  <c r="X8" i="39"/>
  <c r="Y8" i="39"/>
  <c r="V9" i="39"/>
  <c r="W9" i="39"/>
  <c r="X9" i="39"/>
  <c r="Y9" i="39"/>
  <c r="V10" i="39"/>
  <c r="W10" i="39"/>
  <c r="X10" i="39"/>
  <c r="Y10" i="39"/>
  <c r="V11" i="39"/>
  <c r="W11" i="39"/>
  <c r="X11" i="39"/>
  <c r="Y11" i="39"/>
  <c r="V12" i="39"/>
  <c r="W12" i="39"/>
  <c r="X12" i="39"/>
  <c r="Y12" i="39"/>
  <c r="V13" i="39"/>
  <c r="W13" i="39"/>
  <c r="X13" i="39"/>
  <c r="Y13" i="39"/>
  <c r="V14" i="39"/>
  <c r="W14" i="39"/>
  <c r="X14" i="39"/>
  <c r="Y14" i="39"/>
  <c r="V15" i="39"/>
  <c r="W15" i="39"/>
  <c r="X15" i="39"/>
  <c r="Y15" i="39"/>
  <c r="V16" i="39"/>
  <c r="W16" i="39"/>
  <c r="X16" i="39"/>
  <c r="Y16" i="39"/>
  <c r="V17" i="39"/>
  <c r="W17" i="39"/>
  <c r="X17" i="39"/>
  <c r="Y17" i="39"/>
  <c r="V18" i="39"/>
  <c r="W18" i="39"/>
  <c r="X18" i="39"/>
  <c r="Y18" i="39"/>
  <c r="V19" i="39"/>
  <c r="W19" i="39"/>
  <c r="X19" i="39"/>
  <c r="Y19" i="39"/>
  <c r="V20" i="39"/>
  <c r="W20" i="39"/>
  <c r="X20" i="39"/>
  <c r="Y20" i="39"/>
  <c r="V21" i="39"/>
  <c r="W21" i="39"/>
  <c r="X21" i="39"/>
  <c r="Y21" i="39"/>
  <c r="V22" i="39"/>
  <c r="W22" i="39"/>
  <c r="X22" i="39"/>
  <c r="Y22" i="39"/>
  <c r="V23" i="39"/>
  <c r="W23" i="39"/>
  <c r="X23" i="39"/>
  <c r="Y23" i="39"/>
  <c r="V24" i="39"/>
  <c r="W24" i="39"/>
  <c r="X24" i="39"/>
  <c r="Y24" i="39"/>
  <c r="V25" i="39"/>
  <c r="W25" i="39"/>
  <c r="X25" i="39"/>
  <c r="Y25" i="39"/>
  <c r="V26" i="39"/>
  <c r="W26" i="39"/>
  <c r="X26" i="39"/>
  <c r="Y26" i="39"/>
  <c r="V27" i="39"/>
  <c r="W27" i="39"/>
  <c r="X27" i="39"/>
  <c r="Y27" i="39"/>
  <c r="V28" i="39"/>
  <c r="W28" i="39"/>
  <c r="X28" i="39"/>
  <c r="Y28" i="39"/>
  <c r="V29" i="39"/>
  <c r="W29" i="39"/>
  <c r="X29" i="39"/>
  <c r="Y29" i="39"/>
  <c r="V30" i="39"/>
  <c r="W30" i="39"/>
  <c r="X30" i="39"/>
  <c r="Y30" i="39"/>
  <c r="V31" i="39"/>
  <c r="W31" i="39"/>
  <c r="X31" i="39"/>
  <c r="Y31" i="39"/>
  <c r="V32" i="39"/>
  <c r="W32" i="39"/>
  <c r="X32" i="39"/>
  <c r="Y32" i="39"/>
  <c r="V33" i="39"/>
  <c r="W33" i="39"/>
  <c r="X33" i="39"/>
  <c r="Y33" i="39"/>
  <c r="V34" i="39"/>
  <c r="W34" i="39"/>
  <c r="X34" i="39"/>
  <c r="Y34" i="39"/>
  <c r="V35" i="39"/>
  <c r="W35" i="39"/>
  <c r="X35" i="39"/>
  <c r="Y35" i="39"/>
  <c r="V36" i="39"/>
  <c r="W36" i="39"/>
  <c r="X36" i="39"/>
  <c r="Y36" i="39"/>
  <c r="V37" i="39"/>
  <c r="W37" i="39"/>
  <c r="X37" i="39"/>
  <c r="Y37" i="39"/>
  <c r="V38" i="39"/>
  <c r="W38" i="39"/>
  <c r="X38" i="39"/>
  <c r="Y38" i="39"/>
  <c r="V39" i="39"/>
  <c r="W39" i="39"/>
  <c r="X39" i="39"/>
  <c r="Y39" i="39"/>
  <c r="V40" i="39"/>
  <c r="W40" i="39"/>
  <c r="X40" i="39"/>
  <c r="Y40" i="39"/>
  <c r="V41" i="39"/>
  <c r="W41" i="39"/>
  <c r="X41" i="39"/>
  <c r="Y41" i="39"/>
  <c r="V42" i="39"/>
  <c r="W42" i="39"/>
  <c r="X42" i="39"/>
  <c r="Y42" i="39"/>
  <c r="V43" i="39"/>
  <c r="W43" i="39"/>
  <c r="X43" i="39"/>
  <c r="Y43" i="39"/>
  <c r="V44" i="39"/>
  <c r="W44" i="39"/>
  <c r="X44" i="39"/>
  <c r="Y44" i="39"/>
  <c r="V45" i="39"/>
  <c r="W45" i="39"/>
  <c r="X45" i="39"/>
  <c r="Y45" i="39"/>
  <c r="V46" i="39"/>
  <c r="W46" i="39"/>
  <c r="X46" i="39"/>
  <c r="Y46" i="39"/>
  <c r="V47" i="39"/>
  <c r="W47" i="39"/>
  <c r="X47" i="39"/>
  <c r="Y47" i="39"/>
  <c r="V48" i="39"/>
  <c r="W48" i="39"/>
  <c r="X48" i="39"/>
  <c r="Y48" i="39"/>
  <c r="V49" i="39"/>
  <c r="W49" i="39"/>
  <c r="X49" i="39"/>
  <c r="Y49" i="39"/>
  <c r="V50" i="39"/>
  <c r="W50" i="39"/>
  <c r="X50" i="39"/>
  <c r="Y50" i="39"/>
  <c r="V51" i="39"/>
  <c r="W51" i="39"/>
  <c r="X51" i="39"/>
  <c r="Y51" i="39"/>
  <c r="V52" i="39"/>
  <c r="W52" i="39"/>
  <c r="X52" i="39"/>
  <c r="Y52" i="39"/>
  <c r="V53" i="39"/>
  <c r="W53" i="39"/>
  <c r="X53" i="39"/>
  <c r="Y53" i="39"/>
  <c r="V54" i="39"/>
  <c r="W54" i="39"/>
  <c r="X54" i="39"/>
  <c r="Y54" i="39"/>
  <c r="V55" i="39"/>
  <c r="W55" i="39"/>
  <c r="X55" i="39"/>
  <c r="Y55" i="39"/>
  <c r="V56" i="39"/>
  <c r="W56" i="39"/>
  <c r="X56" i="39"/>
  <c r="Y56" i="39"/>
  <c r="V57" i="39"/>
  <c r="W57" i="39"/>
  <c r="X57" i="39"/>
  <c r="Y57" i="39"/>
  <c r="V58" i="39"/>
  <c r="W58" i="39"/>
  <c r="X58" i="39"/>
  <c r="Y58" i="39"/>
  <c r="V59" i="39"/>
  <c r="W59" i="39"/>
  <c r="X59" i="39"/>
  <c r="Y59" i="39"/>
  <c r="V60" i="39"/>
  <c r="W60" i="39"/>
  <c r="X60" i="39"/>
  <c r="Y60" i="39"/>
  <c r="V61" i="39"/>
  <c r="W61" i="39"/>
  <c r="X61" i="39"/>
  <c r="Y61" i="39"/>
  <c r="V62" i="39"/>
  <c r="W62" i="39"/>
  <c r="X62" i="39"/>
  <c r="Y62" i="39"/>
  <c r="V63" i="39"/>
  <c r="W63" i="39"/>
  <c r="X63" i="39"/>
  <c r="Y63" i="39"/>
  <c r="V64" i="39"/>
  <c r="W64" i="39"/>
  <c r="X64" i="39"/>
  <c r="Y64" i="39"/>
  <c r="V65" i="39"/>
  <c r="W65" i="39"/>
  <c r="X65" i="39"/>
  <c r="Y65" i="39"/>
  <c r="V66" i="39"/>
  <c r="W66" i="39"/>
  <c r="X66" i="39"/>
  <c r="Y66" i="39"/>
  <c r="V67" i="39"/>
  <c r="W67" i="39"/>
  <c r="X67" i="39"/>
  <c r="Y67" i="39"/>
  <c r="V68" i="39"/>
  <c r="W68" i="39"/>
  <c r="X68" i="39"/>
  <c r="Y68" i="39"/>
  <c r="V69" i="39"/>
  <c r="W69" i="39"/>
  <c r="X69" i="39"/>
  <c r="Y69" i="39"/>
  <c r="V70" i="39"/>
  <c r="W70" i="39"/>
  <c r="X70" i="39"/>
  <c r="Y70" i="39"/>
  <c r="V71" i="39"/>
  <c r="W71" i="39"/>
  <c r="X71" i="39"/>
  <c r="Y71" i="39"/>
  <c r="V72" i="39"/>
  <c r="W72" i="39"/>
  <c r="X72" i="39"/>
  <c r="Y72" i="39"/>
  <c r="V73" i="39"/>
  <c r="W73" i="39"/>
  <c r="X73" i="39"/>
  <c r="Y73" i="39"/>
  <c r="V74" i="39"/>
  <c r="W74" i="39"/>
  <c r="X74" i="39"/>
  <c r="Y74" i="39"/>
  <c r="V75" i="39"/>
  <c r="W75" i="39"/>
  <c r="X75" i="39"/>
  <c r="Y75" i="39"/>
  <c r="V76" i="39"/>
  <c r="W76" i="39"/>
  <c r="X76" i="39"/>
  <c r="Y76" i="39"/>
  <c r="V77" i="39"/>
  <c r="W77" i="39"/>
  <c r="X77" i="39"/>
  <c r="Y77" i="39"/>
  <c r="V78" i="39"/>
  <c r="W78" i="39"/>
  <c r="X78" i="39"/>
  <c r="Y78" i="39"/>
  <c r="V79" i="39"/>
  <c r="W79" i="39"/>
  <c r="X79" i="39"/>
  <c r="Y79" i="39"/>
  <c r="V80" i="39"/>
  <c r="W80" i="39"/>
  <c r="X80" i="39"/>
  <c r="Y80" i="39"/>
  <c r="V81" i="39"/>
  <c r="W81" i="39"/>
  <c r="X81" i="39"/>
  <c r="Y81" i="39"/>
  <c r="V82" i="39"/>
  <c r="W82" i="39"/>
  <c r="X82" i="39"/>
  <c r="Y82" i="39"/>
  <c r="V83" i="39"/>
  <c r="W83" i="39"/>
  <c r="X83" i="39"/>
  <c r="Y83" i="39"/>
  <c r="V84" i="39"/>
  <c r="W84" i="39"/>
  <c r="X84" i="39"/>
  <c r="Y84" i="39"/>
  <c r="V85" i="39"/>
  <c r="W85" i="39"/>
  <c r="X85" i="39"/>
  <c r="Y85" i="39"/>
  <c r="V86" i="39"/>
  <c r="W86" i="39"/>
  <c r="X86" i="39"/>
  <c r="Y86" i="39"/>
  <c r="V87" i="39"/>
  <c r="W87" i="39"/>
  <c r="X87" i="39"/>
  <c r="Y87" i="39"/>
  <c r="V88" i="39"/>
  <c r="W88" i="39"/>
  <c r="X88" i="39"/>
  <c r="Y88" i="39"/>
  <c r="V89" i="39"/>
  <c r="W89" i="39"/>
  <c r="X89" i="39"/>
  <c r="Y89" i="39"/>
  <c r="V90" i="39"/>
  <c r="W90" i="39"/>
  <c r="X90" i="39"/>
  <c r="Y90" i="39"/>
  <c r="V91" i="39"/>
  <c r="W91" i="39"/>
  <c r="X91" i="39"/>
  <c r="Y91" i="39"/>
  <c r="V92" i="39"/>
  <c r="W92" i="39"/>
  <c r="X92" i="39"/>
  <c r="Y92" i="39"/>
  <c r="V93" i="39"/>
  <c r="W93" i="39"/>
  <c r="X93" i="39"/>
  <c r="Y93" i="39"/>
  <c r="V94" i="39"/>
  <c r="W94" i="39"/>
  <c r="X94" i="39"/>
  <c r="Y94" i="39"/>
  <c r="V95" i="39"/>
  <c r="W95" i="39"/>
  <c r="X95" i="39"/>
  <c r="Y95" i="39"/>
  <c r="V96" i="39"/>
  <c r="W96" i="39"/>
  <c r="X96" i="39"/>
  <c r="Y96" i="39"/>
  <c r="V97" i="39"/>
  <c r="W97" i="39"/>
  <c r="X97" i="39"/>
  <c r="Y97" i="39"/>
  <c r="V98" i="39"/>
  <c r="W98" i="39"/>
  <c r="X98" i="39"/>
  <c r="Y98" i="39"/>
  <c r="V99" i="39"/>
  <c r="W99" i="39"/>
  <c r="X99" i="39"/>
  <c r="Y99" i="39"/>
  <c r="V100" i="39"/>
  <c r="W100" i="39"/>
  <c r="X100" i="39"/>
  <c r="Y100" i="39"/>
  <c r="V101" i="39"/>
  <c r="W101" i="39"/>
  <c r="X101" i="39"/>
  <c r="Y101" i="39"/>
  <c r="V102" i="39"/>
  <c r="W102" i="39"/>
  <c r="X102" i="39"/>
  <c r="Y102" i="39"/>
  <c r="V103" i="39"/>
  <c r="W103" i="39"/>
  <c r="X103" i="39"/>
  <c r="Y103" i="39"/>
  <c r="V104" i="39"/>
  <c r="W104" i="39"/>
  <c r="X104" i="39"/>
  <c r="Y104" i="39"/>
  <c r="V105" i="39"/>
  <c r="W105" i="39"/>
  <c r="X105" i="39"/>
  <c r="Y105" i="39"/>
  <c r="V106" i="39"/>
  <c r="W106" i="39"/>
  <c r="X106" i="39"/>
  <c r="Y106" i="39"/>
  <c r="V107" i="39"/>
  <c r="W107" i="39"/>
  <c r="X107" i="39"/>
  <c r="Y107" i="39"/>
  <c r="V108" i="39"/>
  <c r="W108" i="39"/>
  <c r="X108" i="39"/>
  <c r="Y108" i="39"/>
  <c r="V109" i="39"/>
  <c r="W109" i="39"/>
  <c r="X109" i="39"/>
  <c r="Y109" i="39"/>
  <c r="V110" i="39"/>
  <c r="W110" i="39"/>
  <c r="X110" i="39"/>
  <c r="Y110" i="39"/>
  <c r="V111" i="39"/>
  <c r="W111" i="39"/>
  <c r="X111" i="39"/>
  <c r="Y111" i="39"/>
  <c r="V112" i="39"/>
  <c r="W112" i="39"/>
  <c r="X112" i="39"/>
  <c r="Y112" i="39"/>
  <c r="V113" i="39"/>
  <c r="W113" i="39"/>
  <c r="X113" i="39"/>
  <c r="Y113" i="39"/>
  <c r="V114" i="39"/>
  <c r="W114" i="39"/>
  <c r="X114" i="39"/>
  <c r="Y114" i="39"/>
  <c r="V115" i="39"/>
  <c r="W115" i="39"/>
  <c r="X115" i="39"/>
  <c r="Y115" i="39"/>
  <c r="V116" i="39"/>
  <c r="W116" i="39"/>
  <c r="X116" i="39"/>
  <c r="Y116" i="39"/>
  <c r="V117" i="39"/>
  <c r="W117" i="39"/>
  <c r="X117" i="39"/>
  <c r="Y117" i="39"/>
  <c r="V118" i="39"/>
  <c r="W118" i="39"/>
  <c r="X118" i="39"/>
  <c r="Y118" i="39"/>
  <c r="V119" i="39"/>
  <c r="W119" i="39"/>
  <c r="X119" i="39"/>
  <c r="Y119" i="39"/>
  <c r="V120" i="39"/>
  <c r="W120" i="39"/>
  <c r="X120" i="39"/>
  <c r="Y120" i="39"/>
  <c r="V121" i="39"/>
  <c r="W121" i="39"/>
  <c r="X121" i="39"/>
  <c r="Y121" i="39"/>
  <c r="V122" i="39"/>
  <c r="W122" i="39"/>
  <c r="X122" i="39"/>
  <c r="Y122" i="39"/>
  <c r="V123" i="39"/>
  <c r="W123" i="39"/>
  <c r="X123" i="39"/>
  <c r="Y123" i="39"/>
  <c r="V124" i="39"/>
  <c r="W124" i="39"/>
  <c r="X124" i="39"/>
  <c r="Y124" i="39"/>
  <c r="V125" i="39"/>
  <c r="W125" i="39"/>
  <c r="X125" i="39"/>
  <c r="Y125" i="39"/>
  <c r="V126" i="39"/>
  <c r="W126" i="39"/>
  <c r="X126" i="39"/>
  <c r="Y126" i="39"/>
  <c r="V127" i="39"/>
  <c r="W127" i="39"/>
  <c r="X127" i="39"/>
  <c r="Y127" i="39"/>
  <c r="V128" i="39"/>
  <c r="W128" i="39"/>
  <c r="X128" i="39"/>
  <c r="Y128" i="39"/>
  <c r="V129" i="39"/>
  <c r="W129" i="39"/>
  <c r="X129" i="39"/>
  <c r="Y129" i="39"/>
  <c r="V130" i="39"/>
  <c r="W130" i="39"/>
  <c r="X130" i="39"/>
  <c r="Y130" i="39"/>
  <c r="V131" i="39"/>
  <c r="W131" i="39"/>
  <c r="X131" i="39"/>
  <c r="Y131" i="39"/>
  <c r="V132" i="39"/>
  <c r="W132" i="39"/>
  <c r="X132" i="39"/>
  <c r="Y132" i="39"/>
  <c r="V133" i="39"/>
  <c r="W133" i="39"/>
  <c r="X133" i="39"/>
  <c r="Y133" i="39"/>
  <c r="V134" i="39"/>
  <c r="W134" i="39"/>
  <c r="X134" i="39"/>
  <c r="Y134" i="39"/>
  <c r="V135" i="39"/>
  <c r="W135" i="39"/>
  <c r="X135" i="39"/>
  <c r="Y135" i="39"/>
  <c r="V136" i="39"/>
  <c r="W136" i="39"/>
  <c r="X136" i="39"/>
  <c r="Y136" i="39"/>
  <c r="V137" i="39"/>
  <c r="W137" i="39"/>
  <c r="X137" i="39"/>
  <c r="Y137" i="39"/>
  <c r="V138" i="39"/>
  <c r="W138" i="39"/>
  <c r="X138" i="39"/>
  <c r="Y138" i="39"/>
  <c r="V139" i="39"/>
  <c r="W139" i="39"/>
  <c r="X139" i="39"/>
  <c r="Y139" i="39"/>
  <c r="V140" i="39"/>
  <c r="W140" i="39"/>
  <c r="X140" i="39"/>
  <c r="Y140" i="39"/>
  <c r="V141" i="39"/>
  <c r="W141" i="39"/>
  <c r="X141" i="39"/>
  <c r="Y141" i="39"/>
  <c r="V142" i="39"/>
  <c r="W142" i="39"/>
  <c r="X142" i="39"/>
  <c r="Y142" i="39"/>
  <c r="V143" i="39"/>
  <c r="W143" i="39"/>
  <c r="X143" i="39"/>
  <c r="Y143" i="39"/>
  <c r="V144" i="39"/>
  <c r="W144" i="39"/>
  <c r="X144" i="39"/>
  <c r="Y144" i="39"/>
  <c r="V145" i="39"/>
  <c r="W145" i="39"/>
  <c r="X145" i="39"/>
  <c r="Y145" i="39"/>
  <c r="V146" i="39"/>
  <c r="W146" i="39"/>
  <c r="X146" i="39"/>
  <c r="Y146" i="39"/>
  <c r="V147" i="39"/>
  <c r="W147" i="39"/>
  <c r="X147" i="39"/>
  <c r="Y147" i="39"/>
  <c r="V148" i="39"/>
  <c r="W148" i="39"/>
  <c r="X148" i="39"/>
  <c r="Y148" i="39"/>
  <c r="V149" i="39"/>
  <c r="W149" i="39"/>
  <c r="X149" i="39"/>
  <c r="Y149" i="39"/>
  <c r="V150" i="39"/>
  <c r="W150" i="39"/>
  <c r="X150" i="39"/>
  <c r="Y150" i="39"/>
  <c r="V151" i="39"/>
  <c r="W151" i="39"/>
  <c r="X151" i="39"/>
  <c r="Y151" i="39"/>
  <c r="V152" i="39"/>
  <c r="W152" i="39"/>
  <c r="X152" i="39"/>
  <c r="Y152" i="39"/>
  <c r="V153" i="39"/>
  <c r="W153" i="39"/>
  <c r="X153" i="39"/>
  <c r="Y153" i="39"/>
  <c r="V154" i="39"/>
  <c r="W154" i="39"/>
  <c r="X154" i="39"/>
  <c r="Y154" i="39"/>
  <c r="V155" i="39"/>
  <c r="W155" i="39"/>
  <c r="X155" i="39"/>
  <c r="Y155" i="39"/>
  <c r="V156" i="39"/>
  <c r="W156" i="39"/>
  <c r="X156" i="39"/>
  <c r="Y156" i="39"/>
  <c r="V157" i="39"/>
  <c r="W157" i="39"/>
  <c r="X157" i="39"/>
  <c r="Y157" i="39"/>
  <c r="V158" i="39"/>
  <c r="W158" i="39"/>
  <c r="X158" i="39"/>
  <c r="Y158" i="39"/>
  <c r="V159" i="39"/>
  <c r="W159" i="39"/>
  <c r="X159" i="39"/>
  <c r="Y159" i="39"/>
  <c r="V160" i="39"/>
  <c r="W160" i="39"/>
  <c r="X160" i="39"/>
  <c r="Y160" i="39"/>
  <c r="V161" i="39"/>
  <c r="W161" i="39"/>
  <c r="X161" i="39"/>
  <c r="Y161" i="39"/>
  <c r="V162" i="39"/>
  <c r="W162" i="39"/>
  <c r="X162" i="39"/>
  <c r="Y162" i="39"/>
  <c r="V163" i="39"/>
  <c r="W163" i="39"/>
  <c r="X163" i="39"/>
  <c r="Y163" i="39"/>
  <c r="V164" i="39"/>
  <c r="W164" i="39"/>
  <c r="X164" i="39"/>
  <c r="Y164" i="39"/>
  <c r="V165" i="39"/>
  <c r="W165" i="39"/>
  <c r="X165" i="39"/>
  <c r="Y165" i="39"/>
  <c r="V166" i="39"/>
  <c r="W166" i="39"/>
  <c r="X166" i="39"/>
  <c r="Y166" i="39"/>
  <c r="V167" i="39"/>
  <c r="W167" i="39"/>
  <c r="X167" i="39"/>
  <c r="Y167" i="39"/>
  <c r="V168" i="39"/>
  <c r="W168" i="39"/>
  <c r="X168" i="39"/>
  <c r="Y168" i="39"/>
  <c r="V169" i="39"/>
  <c r="W169" i="39"/>
  <c r="X169" i="39"/>
  <c r="Y169" i="39"/>
  <c r="V170" i="39"/>
  <c r="W170" i="39"/>
  <c r="X170" i="39"/>
  <c r="Y170" i="39"/>
  <c r="V171" i="39"/>
  <c r="W171" i="39"/>
  <c r="X171" i="39"/>
  <c r="Y171" i="39"/>
  <c r="V172" i="39"/>
  <c r="W172" i="39"/>
  <c r="X172" i="39"/>
  <c r="Y172" i="39"/>
  <c r="V173" i="39"/>
  <c r="W173" i="39"/>
  <c r="X173" i="39"/>
  <c r="Y173" i="39"/>
  <c r="V174" i="39"/>
  <c r="W174" i="39"/>
  <c r="X174" i="39"/>
  <c r="Y174" i="39"/>
  <c r="V175" i="39"/>
  <c r="W175" i="39"/>
  <c r="X175" i="39"/>
  <c r="Y175" i="39"/>
  <c r="V176" i="39"/>
  <c r="W176" i="39"/>
  <c r="X176" i="39"/>
  <c r="Y176" i="39"/>
  <c r="V177" i="39"/>
  <c r="W177" i="39"/>
  <c r="X177" i="39"/>
  <c r="Y177" i="39"/>
  <c r="V178" i="39"/>
  <c r="W178" i="39"/>
  <c r="X178" i="39"/>
  <c r="Y178" i="39"/>
  <c r="V179" i="39"/>
  <c r="W179" i="39"/>
  <c r="X179" i="39"/>
  <c r="Y179" i="39"/>
  <c r="V180" i="39"/>
  <c r="W180" i="39"/>
  <c r="X180" i="39"/>
  <c r="Y180" i="39"/>
  <c r="V181" i="39"/>
  <c r="W181" i="39"/>
  <c r="X181" i="39"/>
  <c r="Y181" i="39"/>
  <c r="V182" i="39"/>
  <c r="W182" i="39"/>
  <c r="X182" i="39"/>
  <c r="Y182" i="39"/>
  <c r="V183" i="39"/>
  <c r="W183" i="39"/>
  <c r="X183" i="39"/>
  <c r="Y183" i="39"/>
  <c r="V184" i="39"/>
  <c r="W184" i="39"/>
  <c r="X184" i="39"/>
  <c r="Y184" i="39"/>
  <c r="V185" i="39"/>
  <c r="W185" i="39"/>
  <c r="X185" i="39"/>
  <c r="Y185" i="39"/>
  <c r="V186" i="39"/>
  <c r="W186" i="39"/>
  <c r="X186" i="39"/>
  <c r="Y186" i="39"/>
  <c r="V187" i="39"/>
  <c r="W187" i="39"/>
  <c r="X187" i="39"/>
  <c r="Y187" i="39"/>
  <c r="V188" i="39"/>
  <c r="W188" i="39"/>
  <c r="X188" i="39"/>
  <c r="Y188" i="39"/>
  <c r="V189" i="39"/>
  <c r="W189" i="39"/>
  <c r="X189" i="39"/>
  <c r="Y189" i="39"/>
  <c r="V190" i="39"/>
  <c r="W190" i="39"/>
  <c r="X190" i="39"/>
  <c r="Y190" i="39"/>
  <c r="V191" i="39"/>
  <c r="W191" i="39"/>
  <c r="X191" i="39"/>
  <c r="Y191" i="39"/>
  <c r="V192" i="39"/>
  <c r="W192" i="39"/>
  <c r="X192" i="39"/>
  <c r="Y192" i="39"/>
  <c r="V193" i="39"/>
  <c r="W193" i="39"/>
  <c r="X193" i="39"/>
  <c r="Y193" i="39"/>
  <c r="V194" i="39"/>
  <c r="W194" i="39"/>
  <c r="X194" i="39"/>
  <c r="Y194" i="39"/>
  <c r="V195" i="39"/>
  <c r="W195" i="39"/>
  <c r="X195" i="39"/>
  <c r="Y195" i="39"/>
  <c r="V196" i="39"/>
  <c r="W196" i="39"/>
  <c r="X196" i="39"/>
  <c r="Y196" i="39"/>
  <c r="V197" i="39"/>
  <c r="W197" i="39"/>
  <c r="X197" i="39"/>
  <c r="Y197" i="39"/>
  <c r="V198" i="39"/>
  <c r="W198" i="39"/>
  <c r="X198" i="39"/>
  <c r="Y198" i="39"/>
  <c r="V199" i="39"/>
  <c r="W199" i="39"/>
  <c r="X199" i="39"/>
  <c r="Y199" i="39"/>
  <c r="V200" i="39"/>
  <c r="W200" i="39"/>
  <c r="X200" i="39"/>
  <c r="Y200" i="39"/>
  <c r="V201" i="39"/>
  <c r="W201" i="39"/>
  <c r="X201" i="39"/>
  <c r="Y201" i="39"/>
  <c r="V202" i="39"/>
  <c r="W202" i="39"/>
  <c r="X202" i="39"/>
  <c r="Y202" i="39"/>
  <c r="V203" i="39"/>
  <c r="W203" i="39"/>
  <c r="X203" i="39"/>
  <c r="Y203" i="39"/>
  <c r="V204" i="39"/>
  <c r="W204" i="39"/>
  <c r="X204" i="39"/>
  <c r="Y204" i="39"/>
  <c r="V205" i="39"/>
  <c r="W205" i="39"/>
  <c r="X205" i="39"/>
  <c r="Y205" i="39"/>
  <c r="V206" i="39"/>
  <c r="W206" i="39"/>
  <c r="X206" i="39"/>
  <c r="Y206" i="39"/>
  <c r="V207" i="39"/>
  <c r="W207" i="39"/>
  <c r="X207" i="39"/>
  <c r="Y207" i="39"/>
  <c r="V208" i="39"/>
  <c r="W208" i="39"/>
  <c r="X208" i="39"/>
  <c r="Y208" i="39"/>
  <c r="V209" i="39"/>
  <c r="W209" i="39"/>
  <c r="X209" i="39"/>
  <c r="Y209" i="39"/>
  <c r="V210" i="39"/>
  <c r="W210" i="39"/>
  <c r="X210" i="39"/>
  <c r="Y210" i="39"/>
  <c r="V211" i="39"/>
  <c r="W211" i="39"/>
  <c r="X211" i="39"/>
  <c r="Y211" i="39"/>
  <c r="V212" i="39"/>
  <c r="W212" i="39"/>
  <c r="X212" i="39"/>
  <c r="Y212" i="39"/>
  <c r="V213" i="39"/>
  <c r="W213" i="39"/>
  <c r="X213" i="39"/>
  <c r="Y213" i="39"/>
  <c r="V214" i="39"/>
  <c r="W214" i="39"/>
  <c r="X214" i="39"/>
  <c r="Y214" i="39"/>
  <c r="V215" i="39"/>
  <c r="W215" i="39"/>
  <c r="X215" i="39"/>
  <c r="Y215" i="39"/>
  <c r="V216" i="39"/>
  <c r="W216" i="39"/>
  <c r="X216" i="39"/>
  <c r="Y216" i="39"/>
  <c r="V217" i="39"/>
  <c r="W217" i="39"/>
  <c r="X217" i="39"/>
  <c r="Y217" i="39"/>
  <c r="V218" i="39"/>
  <c r="W218" i="39"/>
  <c r="X218" i="39"/>
  <c r="Y218" i="39"/>
  <c r="V219" i="39"/>
  <c r="W219" i="39"/>
  <c r="X219" i="39"/>
  <c r="Y219" i="39"/>
  <c r="V220" i="39"/>
  <c r="W220" i="39"/>
  <c r="X220" i="39"/>
  <c r="Y220" i="39"/>
  <c r="V221" i="39"/>
  <c r="W221" i="39"/>
  <c r="X221" i="39"/>
  <c r="Y221" i="39"/>
  <c r="V222" i="39"/>
  <c r="W222" i="39"/>
  <c r="X222" i="39"/>
  <c r="Y222" i="39"/>
  <c r="V223" i="39"/>
  <c r="W223" i="39"/>
  <c r="X223" i="39"/>
  <c r="Y223" i="39"/>
  <c r="V224" i="39"/>
  <c r="W224" i="39"/>
  <c r="X224" i="39"/>
  <c r="Y224" i="39"/>
  <c r="V225" i="39"/>
  <c r="W225" i="39"/>
  <c r="X225" i="39"/>
  <c r="Y225" i="39"/>
  <c r="V226" i="39"/>
  <c r="W226" i="39"/>
  <c r="X226" i="39"/>
  <c r="Y226" i="39"/>
  <c r="V227" i="39"/>
  <c r="W227" i="39"/>
  <c r="X227" i="39"/>
  <c r="Y227" i="39"/>
  <c r="V228" i="39"/>
  <c r="W228" i="39"/>
  <c r="X228" i="39"/>
  <c r="Y228" i="39"/>
  <c r="V229" i="39"/>
  <c r="W229" i="39"/>
  <c r="X229" i="39"/>
  <c r="Y229" i="39"/>
  <c r="V230" i="39"/>
  <c r="W230" i="39"/>
  <c r="X230" i="39"/>
  <c r="Y230" i="39"/>
  <c r="V7" i="39"/>
  <c r="W7" i="39"/>
  <c r="X7" i="39"/>
  <c r="Y7" i="39"/>
  <c r="Z8" i="39"/>
  <c r="AA8" i="39"/>
  <c r="AB8" i="39"/>
  <c r="AC8" i="39"/>
  <c r="Z9" i="39"/>
  <c r="AA9" i="39"/>
  <c r="AB9" i="39"/>
  <c r="AC9" i="39"/>
  <c r="Z10" i="39"/>
  <c r="AA10" i="39"/>
  <c r="AB10" i="39"/>
  <c r="AC10" i="39"/>
  <c r="Z11" i="39"/>
  <c r="AA11" i="39"/>
  <c r="AB11" i="39"/>
  <c r="AC11" i="39"/>
  <c r="Z12" i="39"/>
  <c r="AA12" i="39"/>
  <c r="AB12" i="39"/>
  <c r="AC12" i="39"/>
  <c r="Z13" i="39"/>
  <c r="AA13" i="39"/>
  <c r="AB13" i="39"/>
  <c r="AC13" i="39"/>
  <c r="Z14" i="39"/>
  <c r="AA14" i="39"/>
  <c r="AB14" i="39"/>
  <c r="AC14" i="39"/>
  <c r="Z15" i="39"/>
  <c r="AA15" i="39"/>
  <c r="AB15" i="39"/>
  <c r="AC15" i="39"/>
  <c r="Z16" i="39"/>
  <c r="AA16" i="39"/>
  <c r="AB16" i="39"/>
  <c r="AC16" i="39"/>
  <c r="Z17" i="39"/>
  <c r="AA17" i="39"/>
  <c r="AB17" i="39"/>
  <c r="AC17" i="39"/>
  <c r="Z18" i="39"/>
  <c r="AA18" i="39"/>
  <c r="AB18" i="39"/>
  <c r="AC18" i="39"/>
  <c r="Z19" i="39"/>
  <c r="AA19" i="39"/>
  <c r="AB19" i="39"/>
  <c r="AC19" i="39"/>
  <c r="Z20" i="39"/>
  <c r="AA20" i="39"/>
  <c r="AB20" i="39"/>
  <c r="AC20" i="39"/>
  <c r="Z21" i="39"/>
  <c r="AA21" i="39"/>
  <c r="AB21" i="39"/>
  <c r="AC21" i="39"/>
  <c r="Z22" i="39"/>
  <c r="AA22" i="39"/>
  <c r="AB22" i="39"/>
  <c r="AC22" i="39"/>
  <c r="Z23" i="39"/>
  <c r="AA23" i="39"/>
  <c r="AB23" i="39"/>
  <c r="AC23" i="39"/>
  <c r="Z24" i="39"/>
  <c r="AA24" i="39"/>
  <c r="AB24" i="39"/>
  <c r="AC24" i="39"/>
  <c r="Z25" i="39"/>
  <c r="AA25" i="39"/>
  <c r="AB25" i="39"/>
  <c r="AC25" i="39"/>
  <c r="Z26" i="39"/>
  <c r="AA26" i="39"/>
  <c r="AB26" i="39"/>
  <c r="AC26" i="39"/>
  <c r="Z27" i="39"/>
  <c r="AA27" i="39"/>
  <c r="AB27" i="39"/>
  <c r="AC27" i="39"/>
  <c r="Z28" i="39"/>
  <c r="AA28" i="39"/>
  <c r="AB28" i="39"/>
  <c r="AC28" i="39"/>
  <c r="Z29" i="39"/>
  <c r="AA29" i="39"/>
  <c r="AB29" i="39"/>
  <c r="AC29" i="39"/>
  <c r="Z30" i="39"/>
  <c r="AA30" i="39"/>
  <c r="AB30" i="39"/>
  <c r="AC30" i="39"/>
  <c r="Z31" i="39"/>
  <c r="AA31" i="39"/>
  <c r="AB31" i="39"/>
  <c r="AC31" i="39"/>
  <c r="Z32" i="39"/>
  <c r="AA32" i="39"/>
  <c r="AB32" i="39"/>
  <c r="AC32" i="39"/>
  <c r="Z33" i="39"/>
  <c r="AA33" i="39"/>
  <c r="AB33" i="39"/>
  <c r="AC33" i="39"/>
  <c r="Z34" i="39"/>
  <c r="AA34" i="39"/>
  <c r="AB34" i="39"/>
  <c r="AC34" i="39"/>
  <c r="Z35" i="39"/>
  <c r="AA35" i="39"/>
  <c r="AB35" i="39"/>
  <c r="AC35" i="39"/>
  <c r="Z36" i="39"/>
  <c r="AA36" i="39"/>
  <c r="AB36" i="39"/>
  <c r="AC36" i="39"/>
  <c r="Z37" i="39"/>
  <c r="AA37" i="39"/>
  <c r="AB37" i="39"/>
  <c r="AC37" i="39"/>
  <c r="Z38" i="39"/>
  <c r="AA38" i="39"/>
  <c r="AB38" i="39"/>
  <c r="AC38" i="39"/>
  <c r="Z39" i="39"/>
  <c r="AA39" i="39"/>
  <c r="AB39" i="39"/>
  <c r="AC39" i="39"/>
  <c r="Z40" i="39"/>
  <c r="AA40" i="39"/>
  <c r="AB40" i="39"/>
  <c r="AC40" i="39"/>
  <c r="Z41" i="39"/>
  <c r="AA41" i="39"/>
  <c r="AB41" i="39"/>
  <c r="AC41" i="39"/>
  <c r="Z42" i="39"/>
  <c r="AA42" i="39"/>
  <c r="AB42" i="39"/>
  <c r="AC42" i="39"/>
  <c r="Z43" i="39"/>
  <c r="AA43" i="39"/>
  <c r="AB43" i="39"/>
  <c r="AC43" i="39"/>
  <c r="Z44" i="39"/>
  <c r="AA44" i="39"/>
  <c r="AB44" i="39"/>
  <c r="AC44" i="39"/>
  <c r="Z45" i="39"/>
  <c r="AA45" i="39"/>
  <c r="AB45" i="39"/>
  <c r="AC45" i="39"/>
  <c r="Z46" i="39"/>
  <c r="AA46" i="39"/>
  <c r="AB46" i="39"/>
  <c r="AC46" i="39"/>
  <c r="Z47" i="39"/>
  <c r="AA47" i="39"/>
  <c r="AB47" i="39"/>
  <c r="AC47" i="39"/>
  <c r="Z48" i="39"/>
  <c r="AA48" i="39"/>
  <c r="AB48" i="39"/>
  <c r="AC48" i="39"/>
  <c r="Z49" i="39"/>
  <c r="AA49" i="39"/>
  <c r="AB49" i="39"/>
  <c r="AC49" i="39"/>
  <c r="Z50" i="39"/>
  <c r="AA50" i="39"/>
  <c r="AB50" i="39"/>
  <c r="AC50" i="39"/>
  <c r="Z51" i="39"/>
  <c r="AA51" i="39"/>
  <c r="AB51" i="39"/>
  <c r="AC51" i="39"/>
  <c r="Z52" i="39"/>
  <c r="AA52" i="39"/>
  <c r="AB52" i="39"/>
  <c r="AC52" i="39"/>
  <c r="Z53" i="39"/>
  <c r="AA53" i="39"/>
  <c r="AB53" i="39"/>
  <c r="AC53" i="39"/>
  <c r="Z54" i="39"/>
  <c r="AA54" i="39"/>
  <c r="AB54" i="39"/>
  <c r="AC54" i="39"/>
  <c r="Z55" i="39"/>
  <c r="AA55" i="39"/>
  <c r="AB55" i="39"/>
  <c r="AC55" i="39"/>
  <c r="Z56" i="39"/>
  <c r="AA56" i="39"/>
  <c r="AB56" i="39"/>
  <c r="AC56" i="39"/>
  <c r="Z57" i="39"/>
  <c r="AA57" i="39"/>
  <c r="AB57" i="39"/>
  <c r="AC57" i="39"/>
  <c r="Z58" i="39"/>
  <c r="AA58" i="39"/>
  <c r="AB58" i="39"/>
  <c r="AC58" i="39"/>
  <c r="Z59" i="39"/>
  <c r="AA59" i="39"/>
  <c r="AB59" i="39"/>
  <c r="AC59" i="39"/>
  <c r="Z60" i="39"/>
  <c r="AA60" i="39"/>
  <c r="AB60" i="39"/>
  <c r="AC60" i="39"/>
  <c r="Z61" i="39"/>
  <c r="AA61" i="39"/>
  <c r="AB61" i="39"/>
  <c r="AC61" i="39"/>
  <c r="Z62" i="39"/>
  <c r="AA62" i="39"/>
  <c r="AB62" i="39"/>
  <c r="AC62" i="39"/>
  <c r="Z63" i="39"/>
  <c r="AA63" i="39"/>
  <c r="AB63" i="39"/>
  <c r="AC63" i="39"/>
  <c r="Z64" i="39"/>
  <c r="AA64" i="39"/>
  <c r="AB64" i="39"/>
  <c r="AC64" i="39"/>
  <c r="Z65" i="39"/>
  <c r="AA65" i="39"/>
  <c r="AB65" i="39"/>
  <c r="AC65" i="39"/>
  <c r="Z66" i="39"/>
  <c r="AA66" i="39"/>
  <c r="AB66" i="39"/>
  <c r="AC66" i="39"/>
  <c r="Z67" i="39"/>
  <c r="AA67" i="39"/>
  <c r="AB67" i="39"/>
  <c r="AC67" i="39"/>
  <c r="Z68" i="39"/>
  <c r="AA68" i="39"/>
  <c r="AB68" i="39"/>
  <c r="AC68" i="39"/>
  <c r="Z69" i="39"/>
  <c r="AA69" i="39"/>
  <c r="AB69" i="39"/>
  <c r="AC69" i="39"/>
  <c r="Z70" i="39"/>
  <c r="AA70" i="39"/>
  <c r="AB70" i="39"/>
  <c r="AC70" i="39"/>
  <c r="Z71" i="39"/>
  <c r="AA71" i="39"/>
  <c r="AB71" i="39"/>
  <c r="AC71" i="39"/>
  <c r="Z72" i="39"/>
  <c r="AA72" i="39"/>
  <c r="AB72" i="39"/>
  <c r="AC72" i="39"/>
  <c r="Z73" i="39"/>
  <c r="AA73" i="39"/>
  <c r="AB73" i="39"/>
  <c r="AC73" i="39"/>
  <c r="Z74" i="39"/>
  <c r="AA74" i="39"/>
  <c r="AB74" i="39"/>
  <c r="AC74" i="39"/>
  <c r="Z75" i="39"/>
  <c r="AA75" i="39"/>
  <c r="AB75" i="39"/>
  <c r="AC75" i="39"/>
  <c r="Z76" i="39"/>
  <c r="AA76" i="39"/>
  <c r="AB76" i="39"/>
  <c r="AC76" i="39"/>
  <c r="Z77" i="39"/>
  <c r="AA77" i="39"/>
  <c r="AB77" i="39"/>
  <c r="AC77" i="39"/>
  <c r="Z78" i="39"/>
  <c r="AA78" i="39"/>
  <c r="AB78" i="39"/>
  <c r="AC78" i="39"/>
  <c r="Z79" i="39"/>
  <c r="AA79" i="39"/>
  <c r="AB79" i="39"/>
  <c r="AC79" i="39"/>
  <c r="Z80" i="39"/>
  <c r="AA80" i="39"/>
  <c r="AB80" i="39"/>
  <c r="AC80" i="39"/>
  <c r="Z81" i="39"/>
  <c r="AA81" i="39"/>
  <c r="AB81" i="39"/>
  <c r="AC81" i="39"/>
  <c r="Z82" i="39"/>
  <c r="AA82" i="39"/>
  <c r="AB82" i="39"/>
  <c r="AC82" i="39"/>
  <c r="Z83" i="39"/>
  <c r="AA83" i="39"/>
  <c r="AB83" i="39"/>
  <c r="AC83" i="39"/>
  <c r="Z84" i="39"/>
  <c r="AA84" i="39"/>
  <c r="AB84" i="39"/>
  <c r="AC84" i="39"/>
  <c r="Z85" i="39"/>
  <c r="AA85" i="39"/>
  <c r="AB85" i="39"/>
  <c r="AC85" i="39"/>
  <c r="Z86" i="39"/>
  <c r="AA86" i="39"/>
  <c r="AB86" i="39"/>
  <c r="AC86" i="39"/>
  <c r="Z87" i="39"/>
  <c r="AA87" i="39"/>
  <c r="AB87" i="39"/>
  <c r="AC87" i="39"/>
  <c r="Z88" i="39"/>
  <c r="AA88" i="39"/>
  <c r="AB88" i="39"/>
  <c r="AC88" i="39"/>
  <c r="Z89" i="39"/>
  <c r="AA89" i="39"/>
  <c r="AB89" i="39"/>
  <c r="AC89" i="39"/>
  <c r="Z90" i="39"/>
  <c r="AA90" i="39"/>
  <c r="AB90" i="39"/>
  <c r="AC90" i="39"/>
  <c r="Z91" i="39"/>
  <c r="AA91" i="39"/>
  <c r="AB91" i="39"/>
  <c r="AC91" i="39"/>
  <c r="Z92" i="39"/>
  <c r="AA92" i="39"/>
  <c r="AB92" i="39"/>
  <c r="AC92" i="39"/>
  <c r="Z93" i="39"/>
  <c r="AA93" i="39"/>
  <c r="AB93" i="39"/>
  <c r="AC93" i="39"/>
  <c r="Z94" i="39"/>
  <c r="AA94" i="39"/>
  <c r="AB94" i="39"/>
  <c r="AC94" i="39"/>
  <c r="Z95" i="39"/>
  <c r="AA95" i="39"/>
  <c r="AB95" i="39"/>
  <c r="AC95" i="39"/>
  <c r="Z96" i="39"/>
  <c r="AA96" i="39"/>
  <c r="AB96" i="39"/>
  <c r="AC96" i="39"/>
  <c r="Z97" i="39"/>
  <c r="AA97" i="39"/>
  <c r="AB97" i="39"/>
  <c r="AC97" i="39"/>
  <c r="Z98" i="39"/>
  <c r="AA98" i="39"/>
  <c r="AB98" i="39"/>
  <c r="AC98" i="39"/>
  <c r="Z99" i="39"/>
  <c r="AA99" i="39"/>
  <c r="AB99" i="39"/>
  <c r="AC99" i="39"/>
  <c r="Z100" i="39"/>
  <c r="AA100" i="39"/>
  <c r="AB100" i="39"/>
  <c r="AC100" i="39"/>
  <c r="Z101" i="39"/>
  <c r="AA101" i="39"/>
  <c r="AB101" i="39"/>
  <c r="AC101" i="39"/>
  <c r="Z102" i="39"/>
  <c r="AA102" i="39"/>
  <c r="AB102" i="39"/>
  <c r="AC102" i="39"/>
  <c r="Z103" i="39"/>
  <c r="AA103" i="39"/>
  <c r="AB103" i="39"/>
  <c r="AC103" i="39"/>
  <c r="Z104" i="39"/>
  <c r="AA104" i="39"/>
  <c r="AB104" i="39"/>
  <c r="AC104" i="39"/>
  <c r="Z105" i="39"/>
  <c r="AA105" i="39"/>
  <c r="AB105" i="39"/>
  <c r="AC105" i="39"/>
  <c r="Z106" i="39"/>
  <c r="AA106" i="39"/>
  <c r="AB106" i="39"/>
  <c r="AC106" i="39"/>
  <c r="Z107" i="39"/>
  <c r="AA107" i="39"/>
  <c r="AB107" i="39"/>
  <c r="AC107" i="39"/>
  <c r="Z108" i="39"/>
  <c r="AA108" i="39"/>
  <c r="AB108" i="39"/>
  <c r="AC108" i="39"/>
  <c r="Z109" i="39"/>
  <c r="AA109" i="39"/>
  <c r="AB109" i="39"/>
  <c r="AC109" i="39"/>
  <c r="Z110" i="39"/>
  <c r="AA110" i="39"/>
  <c r="AB110" i="39"/>
  <c r="AC110" i="39"/>
  <c r="Z111" i="39"/>
  <c r="AA111" i="39"/>
  <c r="AB111" i="39"/>
  <c r="AC111" i="39"/>
  <c r="Z112" i="39"/>
  <c r="AA112" i="39"/>
  <c r="AB112" i="39"/>
  <c r="AC112" i="39"/>
  <c r="Z113" i="39"/>
  <c r="AA113" i="39"/>
  <c r="AB113" i="39"/>
  <c r="AC113" i="39"/>
  <c r="Z114" i="39"/>
  <c r="AA114" i="39"/>
  <c r="AB114" i="39"/>
  <c r="AC114" i="39"/>
  <c r="Z115" i="39"/>
  <c r="AA115" i="39"/>
  <c r="AB115" i="39"/>
  <c r="AC115" i="39"/>
  <c r="Z116" i="39"/>
  <c r="AA116" i="39"/>
  <c r="AB116" i="39"/>
  <c r="AC116" i="39"/>
  <c r="Z117" i="39"/>
  <c r="AA117" i="39"/>
  <c r="AB117" i="39"/>
  <c r="AC117" i="39"/>
  <c r="Z118" i="39"/>
  <c r="AA118" i="39"/>
  <c r="AB118" i="39"/>
  <c r="AC118" i="39"/>
  <c r="Z119" i="39"/>
  <c r="AA119" i="39"/>
  <c r="AB119" i="39"/>
  <c r="AC119" i="39"/>
  <c r="Z120" i="39"/>
  <c r="AA120" i="39"/>
  <c r="AB120" i="39"/>
  <c r="AC120" i="39"/>
  <c r="Z121" i="39"/>
  <c r="AA121" i="39"/>
  <c r="AB121" i="39"/>
  <c r="AC121" i="39"/>
  <c r="Z122" i="39"/>
  <c r="AA122" i="39"/>
  <c r="AB122" i="39"/>
  <c r="AC122" i="39"/>
  <c r="Z123" i="39"/>
  <c r="AA123" i="39"/>
  <c r="AB123" i="39"/>
  <c r="AC123" i="39"/>
  <c r="Z124" i="39"/>
  <c r="AA124" i="39"/>
  <c r="AB124" i="39"/>
  <c r="AC124" i="39"/>
  <c r="Z125" i="39"/>
  <c r="AA125" i="39"/>
  <c r="AB125" i="39"/>
  <c r="AC125" i="39"/>
  <c r="Z126" i="39"/>
  <c r="AA126" i="39"/>
  <c r="AB126" i="39"/>
  <c r="AC126" i="39"/>
  <c r="Z127" i="39"/>
  <c r="AA127" i="39"/>
  <c r="AB127" i="39"/>
  <c r="AC127" i="39"/>
  <c r="Z128" i="39"/>
  <c r="AA128" i="39"/>
  <c r="AB128" i="39"/>
  <c r="AC128" i="39"/>
  <c r="Z129" i="39"/>
  <c r="AA129" i="39"/>
  <c r="AB129" i="39"/>
  <c r="AC129" i="39"/>
  <c r="Z130" i="39"/>
  <c r="AA130" i="39"/>
  <c r="AB130" i="39"/>
  <c r="AC130" i="39"/>
  <c r="Z131" i="39"/>
  <c r="AA131" i="39"/>
  <c r="AB131" i="39"/>
  <c r="AC131" i="39"/>
  <c r="Z132" i="39"/>
  <c r="AA132" i="39"/>
  <c r="AB132" i="39"/>
  <c r="AC132" i="39"/>
  <c r="Z133" i="39"/>
  <c r="AA133" i="39"/>
  <c r="AB133" i="39"/>
  <c r="AC133" i="39"/>
  <c r="Z134" i="39"/>
  <c r="AA134" i="39"/>
  <c r="AB134" i="39"/>
  <c r="AC134" i="39"/>
  <c r="Z135" i="39"/>
  <c r="AA135" i="39"/>
  <c r="AB135" i="39"/>
  <c r="AC135" i="39"/>
  <c r="Z136" i="39"/>
  <c r="AA136" i="39"/>
  <c r="AB136" i="39"/>
  <c r="AC136" i="39"/>
  <c r="Z137" i="39"/>
  <c r="AA137" i="39"/>
  <c r="AB137" i="39"/>
  <c r="AC137" i="39"/>
  <c r="Z138" i="39"/>
  <c r="AA138" i="39"/>
  <c r="AB138" i="39"/>
  <c r="AC138" i="39"/>
  <c r="Z139" i="39"/>
  <c r="AA139" i="39"/>
  <c r="AB139" i="39"/>
  <c r="AC139" i="39"/>
  <c r="Z140" i="39"/>
  <c r="AA140" i="39"/>
  <c r="AB140" i="39"/>
  <c r="AC140" i="39"/>
  <c r="Z141" i="39"/>
  <c r="AA141" i="39"/>
  <c r="AB141" i="39"/>
  <c r="AC141" i="39"/>
  <c r="Z142" i="39"/>
  <c r="AA142" i="39"/>
  <c r="AB142" i="39"/>
  <c r="AC142" i="39"/>
  <c r="Z143" i="39"/>
  <c r="AA143" i="39"/>
  <c r="AB143" i="39"/>
  <c r="AC143" i="39"/>
  <c r="Z144" i="39"/>
  <c r="AA144" i="39"/>
  <c r="AB144" i="39"/>
  <c r="AC144" i="39"/>
  <c r="Z145" i="39"/>
  <c r="AA145" i="39"/>
  <c r="AB145" i="39"/>
  <c r="AC145" i="39"/>
  <c r="Z146" i="39"/>
  <c r="AA146" i="39"/>
  <c r="AB146" i="39"/>
  <c r="AC146" i="39"/>
  <c r="Z147" i="39"/>
  <c r="AA147" i="39"/>
  <c r="AB147" i="39"/>
  <c r="AC147" i="39"/>
  <c r="Z148" i="39"/>
  <c r="AA148" i="39"/>
  <c r="AB148" i="39"/>
  <c r="AC148" i="39"/>
  <c r="Z149" i="39"/>
  <c r="AA149" i="39"/>
  <c r="AB149" i="39"/>
  <c r="AC149" i="39"/>
  <c r="Z150" i="39"/>
  <c r="AA150" i="39"/>
  <c r="AB150" i="39"/>
  <c r="AC150" i="39"/>
  <c r="Z151" i="39"/>
  <c r="AA151" i="39"/>
  <c r="AB151" i="39"/>
  <c r="AC151" i="39"/>
  <c r="Z152" i="39"/>
  <c r="AA152" i="39"/>
  <c r="AB152" i="39"/>
  <c r="AC152" i="39"/>
  <c r="Z153" i="39"/>
  <c r="AA153" i="39"/>
  <c r="AB153" i="39"/>
  <c r="AC153" i="39"/>
  <c r="Z154" i="39"/>
  <c r="AA154" i="39"/>
  <c r="AB154" i="39"/>
  <c r="AC154" i="39"/>
  <c r="Z155" i="39"/>
  <c r="AA155" i="39"/>
  <c r="AB155" i="39"/>
  <c r="AC155" i="39"/>
  <c r="Z156" i="39"/>
  <c r="AA156" i="39"/>
  <c r="AB156" i="39"/>
  <c r="AC156" i="39"/>
  <c r="Z157" i="39"/>
  <c r="AA157" i="39"/>
  <c r="AB157" i="39"/>
  <c r="AC157" i="39"/>
  <c r="Z158" i="39"/>
  <c r="AA158" i="39"/>
  <c r="AB158" i="39"/>
  <c r="AC158" i="39"/>
  <c r="Z159" i="39"/>
  <c r="AA159" i="39"/>
  <c r="AB159" i="39"/>
  <c r="AC159" i="39"/>
  <c r="Z160" i="39"/>
  <c r="AA160" i="39"/>
  <c r="AB160" i="39"/>
  <c r="AC160" i="39"/>
  <c r="Z161" i="39"/>
  <c r="AA161" i="39"/>
  <c r="AB161" i="39"/>
  <c r="AC161" i="39"/>
  <c r="Z162" i="39"/>
  <c r="AA162" i="39"/>
  <c r="AB162" i="39"/>
  <c r="AC162" i="39"/>
  <c r="Z163" i="39"/>
  <c r="AA163" i="39"/>
  <c r="AB163" i="39"/>
  <c r="AC163" i="39"/>
  <c r="Z164" i="39"/>
  <c r="AA164" i="39"/>
  <c r="AB164" i="39"/>
  <c r="AC164" i="39"/>
  <c r="Z165" i="39"/>
  <c r="AA165" i="39"/>
  <c r="AB165" i="39"/>
  <c r="AC165" i="39"/>
  <c r="Z166" i="39"/>
  <c r="AA166" i="39"/>
  <c r="AB166" i="39"/>
  <c r="AC166" i="39"/>
  <c r="Z167" i="39"/>
  <c r="AA167" i="39"/>
  <c r="AB167" i="39"/>
  <c r="AC167" i="39"/>
  <c r="Z168" i="39"/>
  <c r="AA168" i="39"/>
  <c r="AB168" i="39"/>
  <c r="AC168" i="39"/>
  <c r="Z169" i="39"/>
  <c r="AA169" i="39"/>
  <c r="AB169" i="39"/>
  <c r="AC169" i="39"/>
  <c r="Z170" i="39"/>
  <c r="AA170" i="39"/>
  <c r="AB170" i="39"/>
  <c r="AC170" i="39"/>
  <c r="Z171" i="39"/>
  <c r="AA171" i="39"/>
  <c r="AB171" i="39"/>
  <c r="AC171" i="39"/>
  <c r="Z172" i="39"/>
  <c r="AA172" i="39"/>
  <c r="AB172" i="39"/>
  <c r="AC172" i="39"/>
  <c r="Z173" i="39"/>
  <c r="AA173" i="39"/>
  <c r="AB173" i="39"/>
  <c r="AC173" i="39"/>
  <c r="Z174" i="39"/>
  <c r="AA174" i="39"/>
  <c r="AB174" i="39"/>
  <c r="AC174" i="39"/>
  <c r="Z175" i="39"/>
  <c r="AA175" i="39"/>
  <c r="AB175" i="39"/>
  <c r="AC175" i="39"/>
  <c r="Z176" i="39"/>
  <c r="AA176" i="39"/>
  <c r="AB176" i="39"/>
  <c r="AC176" i="39"/>
  <c r="Z177" i="39"/>
  <c r="AA177" i="39"/>
  <c r="AB177" i="39"/>
  <c r="AC177" i="39"/>
  <c r="Z178" i="39"/>
  <c r="AA178" i="39"/>
  <c r="AB178" i="39"/>
  <c r="AC178" i="39"/>
  <c r="Z179" i="39"/>
  <c r="AA179" i="39"/>
  <c r="AB179" i="39"/>
  <c r="AC179" i="39"/>
  <c r="Z180" i="39"/>
  <c r="AA180" i="39"/>
  <c r="AB180" i="39"/>
  <c r="AC180" i="39"/>
  <c r="Z181" i="39"/>
  <c r="AA181" i="39"/>
  <c r="AB181" i="39"/>
  <c r="AC181" i="39"/>
  <c r="Z182" i="39"/>
  <c r="AA182" i="39"/>
  <c r="AB182" i="39"/>
  <c r="AC182" i="39"/>
  <c r="Z183" i="39"/>
  <c r="AA183" i="39"/>
  <c r="AB183" i="39"/>
  <c r="AC183" i="39"/>
  <c r="Z184" i="39"/>
  <c r="AA184" i="39"/>
  <c r="AB184" i="39"/>
  <c r="AC184" i="39"/>
  <c r="Z185" i="39"/>
  <c r="AA185" i="39"/>
  <c r="AB185" i="39"/>
  <c r="AC185" i="39"/>
  <c r="Z186" i="39"/>
  <c r="AA186" i="39"/>
  <c r="AB186" i="39"/>
  <c r="AC186" i="39"/>
  <c r="Z187" i="39"/>
  <c r="AA187" i="39"/>
  <c r="AB187" i="39"/>
  <c r="AC187" i="39"/>
  <c r="Z188" i="39"/>
  <c r="AA188" i="39"/>
  <c r="AB188" i="39"/>
  <c r="AC188" i="39"/>
  <c r="Z189" i="39"/>
  <c r="AA189" i="39"/>
  <c r="AB189" i="39"/>
  <c r="AC189" i="39"/>
  <c r="Z190" i="39"/>
  <c r="AA190" i="39"/>
  <c r="AB190" i="39"/>
  <c r="AC190" i="39"/>
  <c r="Z191" i="39"/>
  <c r="AA191" i="39"/>
  <c r="AB191" i="39"/>
  <c r="AC191" i="39"/>
  <c r="Z192" i="39"/>
  <c r="AA192" i="39"/>
  <c r="AB192" i="39"/>
  <c r="AC192" i="39"/>
  <c r="Z193" i="39"/>
  <c r="AA193" i="39"/>
  <c r="AB193" i="39"/>
  <c r="AC193" i="39"/>
  <c r="Z194" i="39"/>
  <c r="AA194" i="39"/>
  <c r="AB194" i="39"/>
  <c r="AC194" i="39"/>
  <c r="Z195" i="39"/>
  <c r="AA195" i="39"/>
  <c r="AB195" i="39"/>
  <c r="AC195" i="39"/>
  <c r="Z196" i="39"/>
  <c r="AA196" i="39"/>
  <c r="AB196" i="39"/>
  <c r="AC196" i="39"/>
  <c r="Z197" i="39"/>
  <c r="AA197" i="39"/>
  <c r="AB197" i="39"/>
  <c r="AC197" i="39"/>
  <c r="Z198" i="39"/>
  <c r="AA198" i="39"/>
  <c r="AB198" i="39"/>
  <c r="AC198" i="39"/>
  <c r="Z199" i="39"/>
  <c r="AA199" i="39"/>
  <c r="AB199" i="39"/>
  <c r="AC199" i="39"/>
  <c r="Z200" i="39"/>
  <c r="AA200" i="39"/>
  <c r="AB200" i="39"/>
  <c r="AC200" i="39"/>
  <c r="Z201" i="39"/>
  <c r="AA201" i="39"/>
  <c r="AB201" i="39"/>
  <c r="AC201" i="39"/>
  <c r="Z202" i="39"/>
  <c r="AA202" i="39"/>
  <c r="AB202" i="39"/>
  <c r="AC202" i="39"/>
  <c r="Z203" i="39"/>
  <c r="AA203" i="39"/>
  <c r="AB203" i="39"/>
  <c r="AC203" i="39"/>
  <c r="Z204" i="39"/>
  <c r="AA204" i="39"/>
  <c r="AB204" i="39"/>
  <c r="AC204" i="39"/>
  <c r="Z205" i="39"/>
  <c r="AA205" i="39"/>
  <c r="AB205" i="39"/>
  <c r="AC205" i="39"/>
  <c r="Z206" i="39"/>
  <c r="AA206" i="39"/>
  <c r="AB206" i="39"/>
  <c r="AC206" i="39"/>
  <c r="Z207" i="39"/>
  <c r="AA207" i="39"/>
  <c r="AB207" i="39"/>
  <c r="AC207" i="39"/>
  <c r="Z208" i="39"/>
  <c r="AA208" i="39"/>
  <c r="AB208" i="39"/>
  <c r="AC208" i="39"/>
  <c r="Z209" i="39"/>
  <c r="AA209" i="39"/>
  <c r="AB209" i="39"/>
  <c r="AC209" i="39"/>
  <c r="Z210" i="39"/>
  <c r="AA210" i="39"/>
  <c r="AB210" i="39"/>
  <c r="AC210" i="39"/>
  <c r="Z211" i="39"/>
  <c r="AA211" i="39"/>
  <c r="AB211" i="39"/>
  <c r="AC211" i="39"/>
  <c r="Z212" i="39"/>
  <c r="AA212" i="39"/>
  <c r="AB212" i="39"/>
  <c r="AC212" i="39"/>
  <c r="Z213" i="39"/>
  <c r="AA213" i="39"/>
  <c r="AB213" i="39"/>
  <c r="AC213" i="39"/>
  <c r="Z214" i="39"/>
  <c r="AA214" i="39"/>
  <c r="AB214" i="39"/>
  <c r="AC214" i="39"/>
  <c r="Z215" i="39"/>
  <c r="AA215" i="39"/>
  <c r="AB215" i="39"/>
  <c r="AC215" i="39"/>
  <c r="Z216" i="39"/>
  <c r="AA216" i="39"/>
  <c r="AB216" i="39"/>
  <c r="AC216" i="39"/>
  <c r="Z217" i="39"/>
  <c r="AA217" i="39"/>
  <c r="AB217" i="39"/>
  <c r="AC217" i="39"/>
  <c r="Z218" i="39"/>
  <c r="AA218" i="39"/>
  <c r="AB218" i="39"/>
  <c r="AC218" i="39"/>
  <c r="Z219" i="39"/>
  <c r="AA219" i="39"/>
  <c r="AB219" i="39"/>
  <c r="AC219" i="39"/>
  <c r="Z220" i="39"/>
  <c r="AA220" i="39"/>
  <c r="AB220" i="39"/>
  <c r="AC220" i="39"/>
  <c r="Z221" i="39"/>
  <c r="AA221" i="39"/>
  <c r="AB221" i="39"/>
  <c r="AC221" i="39"/>
  <c r="Z222" i="39"/>
  <c r="AA222" i="39"/>
  <c r="AB222" i="39"/>
  <c r="AC222" i="39"/>
  <c r="Z223" i="39"/>
  <c r="AA223" i="39"/>
  <c r="AB223" i="39"/>
  <c r="AC223" i="39"/>
  <c r="Z224" i="39"/>
  <c r="AA224" i="39"/>
  <c r="AB224" i="39"/>
  <c r="AC224" i="39"/>
  <c r="Z225" i="39"/>
  <c r="AA225" i="39"/>
  <c r="AB225" i="39"/>
  <c r="AC225" i="39"/>
  <c r="Z226" i="39"/>
  <c r="AA226" i="39"/>
  <c r="AB226" i="39"/>
  <c r="AC226" i="39"/>
  <c r="Z227" i="39"/>
  <c r="AA227" i="39"/>
  <c r="AB227" i="39"/>
  <c r="AC227" i="39"/>
  <c r="Z228" i="39"/>
  <c r="AA228" i="39"/>
  <c r="AB228" i="39"/>
  <c r="AC228" i="39"/>
  <c r="Z229" i="39"/>
  <c r="AA229" i="39"/>
  <c r="AB229" i="39"/>
  <c r="AC229" i="39"/>
  <c r="Z230" i="39"/>
  <c r="AA230" i="39"/>
  <c r="AB230" i="39"/>
  <c r="AC230" i="39"/>
  <c r="Z7" i="39"/>
  <c r="AA7" i="39"/>
  <c r="AB7" i="39"/>
  <c r="AC7" i="39"/>
  <c r="T7" i="39" l="1"/>
  <c r="S7" i="39"/>
  <c r="B6" i="64"/>
  <c r="E32" i="65"/>
  <c r="R230" i="39" l="1"/>
  <c r="S230" i="39"/>
  <c r="T230" i="39"/>
  <c r="F230" i="39"/>
  <c r="G230" i="39"/>
  <c r="H230" i="39"/>
  <c r="I230" i="39"/>
  <c r="J230" i="39"/>
  <c r="K230" i="39"/>
  <c r="L230" i="39"/>
  <c r="M230" i="39"/>
  <c r="N230" i="39"/>
  <c r="O230" i="39"/>
  <c r="P230" i="39"/>
  <c r="Q230" i="39"/>
  <c r="A53" i="65"/>
  <c r="D53" i="65"/>
  <c r="A32" i="65"/>
  <c r="T8" i="39"/>
  <c r="T9" i="39"/>
  <c r="T10" i="39"/>
  <c r="T11" i="39"/>
  <c r="T12" i="39"/>
  <c r="T13" i="39"/>
  <c r="T14" i="39"/>
  <c r="T15" i="39"/>
  <c r="T16" i="39"/>
  <c r="T17" i="39"/>
  <c r="T18" i="39"/>
  <c r="T19" i="39"/>
  <c r="T20" i="39"/>
  <c r="T21" i="39"/>
  <c r="T22" i="39"/>
  <c r="T23" i="39"/>
  <c r="T24" i="39"/>
  <c r="T25" i="39"/>
  <c r="T26" i="39"/>
  <c r="T27" i="39"/>
  <c r="T28" i="39"/>
  <c r="T29" i="39"/>
  <c r="T30" i="39"/>
  <c r="T31" i="39"/>
  <c r="T32" i="39"/>
  <c r="T33" i="39"/>
  <c r="T34" i="39"/>
  <c r="T35" i="39"/>
  <c r="T36" i="39"/>
  <c r="T37" i="39"/>
  <c r="T38" i="39"/>
  <c r="T39" i="39"/>
  <c r="T40" i="39"/>
  <c r="T41" i="39"/>
  <c r="T42" i="39"/>
  <c r="T43" i="39"/>
  <c r="T44" i="39"/>
  <c r="T45" i="39"/>
  <c r="T46" i="39"/>
  <c r="T47" i="39"/>
  <c r="T48" i="39"/>
  <c r="T49" i="39"/>
  <c r="T50" i="39"/>
  <c r="T51" i="39"/>
  <c r="T52" i="39"/>
  <c r="T53" i="39"/>
  <c r="T54" i="39"/>
  <c r="T55" i="39"/>
  <c r="T56" i="39"/>
  <c r="T57" i="39"/>
  <c r="T58" i="39"/>
  <c r="T59" i="39"/>
  <c r="T60" i="39"/>
  <c r="T61" i="39"/>
  <c r="T62" i="39"/>
  <c r="T63" i="39"/>
  <c r="T64" i="39"/>
  <c r="T65" i="39"/>
  <c r="T66" i="39"/>
  <c r="T67" i="39"/>
  <c r="T68" i="39"/>
  <c r="T69" i="39"/>
  <c r="T70" i="39"/>
  <c r="T71" i="39"/>
  <c r="T72" i="39"/>
  <c r="T73" i="39"/>
  <c r="T74" i="39"/>
  <c r="T75" i="39"/>
  <c r="T76" i="39"/>
  <c r="T77" i="39"/>
  <c r="T78" i="39"/>
  <c r="T79" i="39"/>
  <c r="T80" i="39"/>
  <c r="T81" i="39"/>
  <c r="T82" i="39"/>
  <c r="T83" i="39"/>
  <c r="T84" i="39"/>
  <c r="T85" i="39"/>
  <c r="T86" i="39"/>
  <c r="T87" i="39"/>
  <c r="T88" i="39"/>
  <c r="T89" i="39"/>
  <c r="T90" i="39"/>
  <c r="T91" i="39"/>
  <c r="T92" i="39"/>
  <c r="T93" i="39"/>
  <c r="T94" i="39"/>
  <c r="T95" i="39"/>
  <c r="T96" i="39"/>
  <c r="T97" i="39"/>
  <c r="T98" i="39"/>
  <c r="T99" i="39"/>
  <c r="T100" i="39"/>
  <c r="T101" i="39"/>
  <c r="T102" i="39"/>
  <c r="T103" i="39"/>
  <c r="T104" i="39"/>
  <c r="T105" i="39"/>
  <c r="T106" i="39"/>
  <c r="T107" i="39"/>
  <c r="T108" i="39"/>
  <c r="T109" i="39"/>
  <c r="T110" i="39"/>
  <c r="T111" i="39"/>
  <c r="T112" i="39"/>
  <c r="T113" i="39"/>
  <c r="T114" i="39"/>
  <c r="T115" i="39"/>
  <c r="T116" i="39"/>
  <c r="T117" i="39"/>
  <c r="T118" i="39"/>
  <c r="T119" i="39"/>
  <c r="T120" i="39"/>
  <c r="T121" i="39"/>
  <c r="T122" i="39"/>
  <c r="T123" i="39"/>
  <c r="T124" i="39"/>
  <c r="T125" i="39"/>
  <c r="T126" i="39"/>
  <c r="T127" i="39"/>
  <c r="T128" i="39"/>
  <c r="T129" i="39"/>
  <c r="T130" i="39"/>
  <c r="T131" i="39"/>
  <c r="T132" i="39"/>
  <c r="T133" i="39"/>
  <c r="T134" i="39"/>
  <c r="T135" i="39"/>
  <c r="T136" i="39"/>
  <c r="T137" i="39"/>
  <c r="T138" i="39"/>
  <c r="T139" i="39"/>
  <c r="T140" i="39"/>
  <c r="T141" i="39"/>
  <c r="T142" i="39"/>
  <c r="T143" i="39"/>
  <c r="T144" i="39"/>
  <c r="T145" i="39"/>
  <c r="T146" i="39"/>
  <c r="T147" i="39"/>
  <c r="T148" i="39"/>
  <c r="T149" i="39"/>
  <c r="T150" i="39"/>
  <c r="T151" i="39"/>
  <c r="T152" i="39"/>
  <c r="T153" i="39"/>
  <c r="T154" i="39"/>
  <c r="T155" i="39"/>
  <c r="T156" i="39"/>
  <c r="T157" i="39"/>
  <c r="T158" i="39"/>
  <c r="T159" i="39"/>
  <c r="T160" i="39"/>
  <c r="T161" i="39"/>
  <c r="T162" i="39"/>
  <c r="T163" i="39"/>
  <c r="T164" i="39"/>
  <c r="T165" i="39"/>
  <c r="T166" i="39"/>
  <c r="T167" i="39"/>
  <c r="T168" i="39"/>
  <c r="T169" i="39"/>
  <c r="T170" i="39"/>
  <c r="T171" i="39"/>
  <c r="T172" i="39"/>
  <c r="T173" i="39"/>
  <c r="T174" i="39"/>
  <c r="T175" i="39"/>
  <c r="T176" i="39"/>
  <c r="T177" i="39"/>
  <c r="T178" i="39"/>
  <c r="T179" i="39"/>
  <c r="T180" i="39"/>
  <c r="T181" i="39"/>
  <c r="T182" i="39"/>
  <c r="T183" i="39"/>
  <c r="T184" i="39"/>
  <c r="T185" i="39"/>
  <c r="T186" i="39"/>
  <c r="T187" i="39"/>
  <c r="T188" i="39"/>
  <c r="T189" i="39"/>
  <c r="T190" i="39"/>
  <c r="T191" i="39"/>
  <c r="T192" i="39"/>
  <c r="T193" i="39"/>
  <c r="T194" i="39"/>
  <c r="T195" i="39"/>
  <c r="T196" i="39"/>
  <c r="T197" i="39"/>
  <c r="T198" i="39"/>
  <c r="T199" i="39"/>
  <c r="T200" i="39"/>
  <c r="T201" i="39"/>
  <c r="T202" i="39"/>
  <c r="T203" i="39"/>
  <c r="T204" i="39"/>
  <c r="T205" i="39"/>
  <c r="T206" i="39"/>
  <c r="T207" i="39"/>
  <c r="T208" i="39"/>
  <c r="T209" i="39"/>
  <c r="T210" i="39"/>
  <c r="T211" i="39"/>
  <c r="T212" i="39"/>
  <c r="T213" i="39"/>
  <c r="T214" i="39"/>
  <c r="T215" i="39"/>
  <c r="T216" i="39"/>
  <c r="T217" i="39"/>
  <c r="T218" i="39"/>
  <c r="T219" i="39"/>
  <c r="T220" i="39"/>
  <c r="T221" i="39"/>
  <c r="T222" i="39"/>
  <c r="T223" i="39"/>
  <c r="T224" i="39"/>
  <c r="T225" i="39"/>
  <c r="T226" i="39"/>
  <c r="T227" i="39"/>
  <c r="T228" i="39"/>
  <c r="T229" i="39"/>
  <c r="S8" i="39"/>
  <c r="S9" i="39"/>
  <c r="S10" i="39"/>
  <c r="S11" i="39"/>
  <c r="S12" i="39"/>
  <c r="S13" i="39"/>
  <c r="S14" i="39"/>
  <c r="S15" i="39"/>
  <c r="S16" i="39"/>
  <c r="S17" i="39"/>
  <c r="S18" i="39"/>
  <c r="S19" i="39"/>
  <c r="S20" i="39"/>
  <c r="S21" i="39"/>
  <c r="S22" i="39"/>
  <c r="S23" i="39"/>
  <c r="S24" i="39"/>
  <c r="S25" i="39"/>
  <c r="S26" i="39"/>
  <c r="S27" i="39"/>
  <c r="S28" i="39"/>
  <c r="S29" i="39"/>
  <c r="S30" i="39"/>
  <c r="S31" i="39"/>
  <c r="S32" i="39"/>
  <c r="S33" i="39"/>
  <c r="S34" i="39"/>
  <c r="S35" i="39"/>
  <c r="S36" i="39"/>
  <c r="S37" i="39"/>
  <c r="S38" i="39"/>
  <c r="S39" i="39"/>
  <c r="S40" i="39"/>
  <c r="S41" i="39"/>
  <c r="S42" i="39"/>
  <c r="S43" i="39"/>
  <c r="S44" i="39"/>
  <c r="S45" i="39"/>
  <c r="S46" i="39"/>
  <c r="S47" i="39"/>
  <c r="S48" i="39"/>
  <c r="S49" i="39"/>
  <c r="S50" i="39"/>
  <c r="S51" i="39"/>
  <c r="S52" i="39"/>
  <c r="S53" i="39"/>
  <c r="S54" i="39"/>
  <c r="S55" i="39"/>
  <c r="S56" i="39"/>
  <c r="S57" i="39"/>
  <c r="S58" i="39"/>
  <c r="S59" i="39"/>
  <c r="S60" i="39"/>
  <c r="S61" i="39"/>
  <c r="S62" i="39"/>
  <c r="S63" i="39"/>
  <c r="S64" i="39"/>
  <c r="S65" i="39"/>
  <c r="S66" i="39"/>
  <c r="S67" i="39"/>
  <c r="S68" i="39"/>
  <c r="S69" i="39"/>
  <c r="S70" i="39"/>
  <c r="S71" i="39"/>
  <c r="S72" i="39"/>
  <c r="S73" i="39"/>
  <c r="S74" i="39"/>
  <c r="S75" i="39"/>
  <c r="S76" i="39"/>
  <c r="S77" i="39"/>
  <c r="S78" i="39"/>
  <c r="S79" i="39"/>
  <c r="S80" i="39"/>
  <c r="S81" i="39"/>
  <c r="S82" i="39"/>
  <c r="S83" i="39"/>
  <c r="S84" i="39"/>
  <c r="S85" i="39"/>
  <c r="S86" i="39"/>
  <c r="S87" i="39"/>
  <c r="S88" i="39"/>
  <c r="S89" i="39"/>
  <c r="S90" i="39"/>
  <c r="S91" i="39"/>
  <c r="S92" i="39"/>
  <c r="S93" i="39"/>
  <c r="S94" i="39"/>
  <c r="S95" i="39"/>
  <c r="S96" i="39"/>
  <c r="S97" i="39"/>
  <c r="S98" i="39"/>
  <c r="S99" i="39"/>
  <c r="S100" i="39"/>
  <c r="S101" i="39"/>
  <c r="S102" i="39"/>
  <c r="S103" i="39"/>
  <c r="S104" i="39"/>
  <c r="S105" i="39"/>
  <c r="S106" i="39"/>
  <c r="S107" i="39"/>
  <c r="S108" i="39"/>
  <c r="S109" i="39"/>
  <c r="S110" i="39"/>
  <c r="S111" i="39"/>
  <c r="S112" i="39"/>
  <c r="S113" i="39"/>
  <c r="S114" i="39"/>
  <c r="S115" i="39"/>
  <c r="S116" i="39"/>
  <c r="S117" i="39"/>
  <c r="S118" i="39"/>
  <c r="S119" i="39"/>
  <c r="S120" i="39"/>
  <c r="S121" i="39"/>
  <c r="S122" i="39"/>
  <c r="S123" i="39"/>
  <c r="S124" i="39"/>
  <c r="S125" i="39"/>
  <c r="S126" i="39"/>
  <c r="S127" i="39"/>
  <c r="S128" i="39"/>
  <c r="S129" i="39"/>
  <c r="S130" i="39"/>
  <c r="S131" i="39"/>
  <c r="S132" i="39"/>
  <c r="S133" i="39"/>
  <c r="S134" i="39"/>
  <c r="S135" i="39"/>
  <c r="S136" i="39"/>
  <c r="S137" i="39"/>
  <c r="S138" i="39"/>
  <c r="S139" i="39"/>
  <c r="S140" i="39"/>
  <c r="S141" i="39"/>
  <c r="S142" i="39"/>
  <c r="S143" i="39"/>
  <c r="S144" i="39"/>
  <c r="S145" i="39"/>
  <c r="S146" i="39"/>
  <c r="S147" i="39"/>
  <c r="S148" i="39"/>
  <c r="S149" i="39"/>
  <c r="S150" i="39"/>
  <c r="S151" i="39"/>
  <c r="S152" i="39"/>
  <c r="S153" i="39"/>
  <c r="S154" i="39"/>
  <c r="S155" i="39"/>
  <c r="S156" i="39"/>
  <c r="S157" i="39"/>
  <c r="S158" i="39"/>
  <c r="S159" i="39"/>
  <c r="S160" i="39"/>
  <c r="S161" i="39"/>
  <c r="S162" i="39"/>
  <c r="S163" i="39"/>
  <c r="S164" i="39"/>
  <c r="S165" i="39"/>
  <c r="S166" i="39"/>
  <c r="S167" i="39"/>
  <c r="S168" i="39"/>
  <c r="S169" i="39"/>
  <c r="S170" i="39"/>
  <c r="S171" i="39"/>
  <c r="S172" i="39"/>
  <c r="S173" i="39"/>
  <c r="S174" i="39"/>
  <c r="S175" i="39"/>
  <c r="S176" i="39"/>
  <c r="S177" i="39"/>
  <c r="S178" i="39"/>
  <c r="S179" i="39"/>
  <c r="S180" i="39"/>
  <c r="S181" i="39"/>
  <c r="S182" i="39"/>
  <c r="S183" i="39"/>
  <c r="S184" i="39"/>
  <c r="S185" i="39"/>
  <c r="S186" i="39"/>
  <c r="S187" i="39"/>
  <c r="S188" i="39"/>
  <c r="S189" i="39"/>
  <c r="S190" i="39"/>
  <c r="S191" i="39"/>
  <c r="S192" i="39"/>
  <c r="S193" i="39"/>
  <c r="S194" i="39"/>
  <c r="S195" i="39"/>
  <c r="S196" i="39"/>
  <c r="S197" i="39"/>
  <c r="S198" i="39"/>
  <c r="S199" i="39"/>
  <c r="S200" i="39"/>
  <c r="S201" i="39"/>
  <c r="S202" i="39"/>
  <c r="S203" i="39"/>
  <c r="S204" i="39"/>
  <c r="S205" i="39"/>
  <c r="S206" i="39"/>
  <c r="S207" i="39"/>
  <c r="S208" i="39"/>
  <c r="S209" i="39"/>
  <c r="S210" i="39"/>
  <c r="S211" i="39"/>
  <c r="S212" i="39"/>
  <c r="S213" i="39"/>
  <c r="S214" i="39"/>
  <c r="S215" i="39"/>
  <c r="S216" i="39"/>
  <c r="S217" i="39"/>
  <c r="S218" i="39"/>
  <c r="S219" i="39"/>
  <c r="S220" i="39"/>
  <c r="S221" i="39"/>
  <c r="S222" i="39"/>
  <c r="S223" i="39"/>
  <c r="S224" i="39"/>
  <c r="S225" i="39"/>
  <c r="S226" i="39"/>
  <c r="S227" i="39"/>
  <c r="S228" i="39"/>
  <c r="S229" i="39"/>
  <c r="R8" i="39"/>
  <c r="R9" i="39"/>
  <c r="R10" i="39"/>
  <c r="R11" i="39"/>
  <c r="R12" i="39"/>
  <c r="R13" i="39"/>
  <c r="R14" i="39"/>
  <c r="R15" i="39"/>
  <c r="R16" i="39"/>
  <c r="R17" i="39"/>
  <c r="R18" i="39"/>
  <c r="R19" i="39"/>
  <c r="R20" i="39"/>
  <c r="R21" i="39"/>
  <c r="R22" i="39"/>
  <c r="R23" i="39"/>
  <c r="R24" i="39"/>
  <c r="R25" i="39"/>
  <c r="R26" i="39"/>
  <c r="R27" i="39"/>
  <c r="R28" i="39"/>
  <c r="R29" i="39"/>
  <c r="R30" i="39"/>
  <c r="R31" i="39"/>
  <c r="R32" i="39"/>
  <c r="R33" i="39"/>
  <c r="R34" i="39"/>
  <c r="R35" i="39"/>
  <c r="R36" i="39"/>
  <c r="R37" i="39"/>
  <c r="R38" i="39"/>
  <c r="R39" i="39"/>
  <c r="R40" i="39"/>
  <c r="R41" i="39"/>
  <c r="R42" i="39"/>
  <c r="R43" i="39"/>
  <c r="R44" i="39"/>
  <c r="R45" i="39"/>
  <c r="R46" i="39"/>
  <c r="R47" i="39"/>
  <c r="R48" i="39"/>
  <c r="R49" i="39"/>
  <c r="R50" i="39"/>
  <c r="R51" i="39"/>
  <c r="R52" i="39"/>
  <c r="R53" i="39"/>
  <c r="R54" i="39"/>
  <c r="R55" i="39"/>
  <c r="R56" i="39"/>
  <c r="R57" i="39"/>
  <c r="R58" i="39"/>
  <c r="R59" i="39"/>
  <c r="R60" i="39"/>
  <c r="R61" i="39"/>
  <c r="R62" i="39"/>
  <c r="R63" i="39"/>
  <c r="R64" i="39"/>
  <c r="R65" i="39"/>
  <c r="R66" i="39"/>
  <c r="R67" i="39"/>
  <c r="R68" i="39"/>
  <c r="R69" i="39"/>
  <c r="R70" i="39"/>
  <c r="R71" i="39"/>
  <c r="R72" i="39"/>
  <c r="R73" i="39"/>
  <c r="R74" i="39"/>
  <c r="R75" i="39"/>
  <c r="R76" i="39"/>
  <c r="R77" i="39"/>
  <c r="R78" i="39"/>
  <c r="R79" i="39"/>
  <c r="R80" i="39"/>
  <c r="R81" i="39"/>
  <c r="R82" i="39"/>
  <c r="R83" i="39"/>
  <c r="R84" i="39"/>
  <c r="R85" i="39"/>
  <c r="R86" i="39"/>
  <c r="R87" i="39"/>
  <c r="R88" i="39"/>
  <c r="R89" i="39"/>
  <c r="R90" i="39"/>
  <c r="R91" i="39"/>
  <c r="R92" i="39"/>
  <c r="R93" i="39"/>
  <c r="R94" i="39"/>
  <c r="R95" i="39"/>
  <c r="R96" i="39"/>
  <c r="R97" i="39"/>
  <c r="R98" i="39"/>
  <c r="R99" i="39"/>
  <c r="R100" i="39"/>
  <c r="R101" i="39"/>
  <c r="R102" i="39"/>
  <c r="R103" i="39"/>
  <c r="R104" i="39"/>
  <c r="R105" i="39"/>
  <c r="R106" i="39"/>
  <c r="R107" i="39"/>
  <c r="R108" i="39"/>
  <c r="R109" i="39"/>
  <c r="R110" i="39"/>
  <c r="R111" i="39"/>
  <c r="R112" i="39"/>
  <c r="R113" i="39"/>
  <c r="R114" i="39"/>
  <c r="R115" i="39"/>
  <c r="R116" i="39"/>
  <c r="R117" i="39"/>
  <c r="R118" i="39"/>
  <c r="R119" i="39"/>
  <c r="R120" i="39"/>
  <c r="R121" i="39"/>
  <c r="R122" i="39"/>
  <c r="R123" i="39"/>
  <c r="R124" i="39"/>
  <c r="R125" i="39"/>
  <c r="R126" i="39"/>
  <c r="R127" i="39"/>
  <c r="R128" i="39"/>
  <c r="R129" i="39"/>
  <c r="R130" i="39"/>
  <c r="R131" i="39"/>
  <c r="R132" i="39"/>
  <c r="R133" i="39"/>
  <c r="R134" i="39"/>
  <c r="R135" i="39"/>
  <c r="R136" i="39"/>
  <c r="R137" i="39"/>
  <c r="R138" i="39"/>
  <c r="R139" i="39"/>
  <c r="R140" i="39"/>
  <c r="R141" i="39"/>
  <c r="R142" i="39"/>
  <c r="R143" i="39"/>
  <c r="R144" i="39"/>
  <c r="R145" i="39"/>
  <c r="R146" i="39"/>
  <c r="R147" i="39"/>
  <c r="R148" i="39"/>
  <c r="R149" i="39"/>
  <c r="R150" i="39"/>
  <c r="R151" i="39"/>
  <c r="R152" i="39"/>
  <c r="R153" i="39"/>
  <c r="R154" i="39"/>
  <c r="R155" i="39"/>
  <c r="R156" i="39"/>
  <c r="R157" i="39"/>
  <c r="R158" i="39"/>
  <c r="R159" i="39"/>
  <c r="R160" i="39"/>
  <c r="R161" i="39"/>
  <c r="R162" i="39"/>
  <c r="R163" i="39"/>
  <c r="R164" i="39"/>
  <c r="R165" i="39"/>
  <c r="R166" i="39"/>
  <c r="R167" i="39"/>
  <c r="R168" i="39"/>
  <c r="R169" i="39"/>
  <c r="R170" i="39"/>
  <c r="R171" i="39"/>
  <c r="R172" i="39"/>
  <c r="R173" i="39"/>
  <c r="R174" i="39"/>
  <c r="R175" i="39"/>
  <c r="R176" i="39"/>
  <c r="R177" i="39"/>
  <c r="R178" i="39"/>
  <c r="R179" i="39"/>
  <c r="R180" i="39"/>
  <c r="R181" i="39"/>
  <c r="R182" i="39"/>
  <c r="R183" i="39"/>
  <c r="R184" i="39"/>
  <c r="R185" i="39"/>
  <c r="R186" i="39"/>
  <c r="R187" i="39"/>
  <c r="R188" i="39"/>
  <c r="R189" i="39"/>
  <c r="R190" i="39"/>
  <c r="R191" i="39"/>
  <c r="R192" i="39"/>
  <c r="R193" i="39"/>
  <c r="R194" i="39"/>
  <c r="R195" i="39"/>
  <c r="R196" i="39"/>
  <c r="R197" i="39"/>
  <c r="R198" i="39"/>
  <c r="R199" i="39"/>
  <c r="R200" i="39"/>
  <c r="R201" i="39"/>
  <c r="R202" i="39"/>
  <c r="R203" i="39"/>
  <c r="R204" i="39"/>
  <c r="R205" i="39"/>
  <c r="R206" i="39"/>
  <c r="R207" i="39"/>
  <c r="R208" i="39"/>
  <c r="R209" i="39"/>
  <c r="R210" i="39"/>
  <c r="R211" i="39"/>
  <c r="R212" i="39"/>
  <c r="R213" i="39"/>
  <c r="R214" i="39"/>
  <c r="R215" i="39"/>
  <c r="R216" i="39"/>
  <c r="R217" i="39"/>
  <c r="R218" i="39"/>
  <c r="R219" i="39"/>
  <c r="R220" i="39"/>
  <c r="R221" i="39"/>
  <c r="R222" i="39"/>
  <c r="R223" i="39"/>
  <c r="R224" i="39"/>
  <c r="R225" i="39"/>
  <c r="R226" i="39"/>
  <c r="R227" i="39"/>
  <c r="R228" i="39"/>
  <c r="R229" i="39"/>
  <c r="R7" i="39"/>
  <c r="Q8" i="39"/>
  <c r="Q9" i="39"/>
  <c r="Q10" i="39"/>
  <c r="Q11" i="39"/>
  <c r="Q12" i="39"/>
  <c r="Q13" i="39"/>
  <c r="Q14" i="39"/>
  <c r="Q15" i="39"/>
  <c r="Q16" i="39"/>
  <c r="Q17" i="39"/>
  <c r="Q18" i="39"/>
  <c r="Q19" i="39"/>
  <c r="Q20" i="39"/>
  <c r="Q21" i="39"/>
  <c r="Q22" i="39"/>
  <c r="Q23" i="39"/>
  <c r="Q24" i="39"/>
  <c r="Q25" i="39"/>
  <c r="Q26" i="39"/>
  <c r="Q27" i="39"/>
  <c r="Q28" i="39"/>
  <c r="Q29" i="39"/>
  <c r="Q30" i="39"/>
  <c r="Q31" i="39"/>
  <c r="Q32" i="39"/>
  <c r="Q33" i="39"/>
  <c r="Q34" i="39"/>
  <c r="Q35" i="39"/>
  <c r="Q36" i="39"/>
  <c r="Q37" i="39"/>
  <c r="Q38" i="39"/>
  <c r="Q39" i="39"/>
  <c r="Q40" i="39"/>
  <c r="Q41" i="39"/>
  <c r="Q42" i="39"/>
  <c r="Q43" i="39"/>
  <c r="Q44" i="39"/>
  <c r="Q45" i="39"/>
  <c r="Q46" i="39"/>
  <c r="Q47" i="39"/>
  <c r="Q48" i="39"/>
  <c r="Q49" i="39"/>
  <c r="Q50" i="39"/>
  <c r="Q51" i="39"/>
  <c r="Q52" i="39"/>
  <c r="Q53" i="39"/>
  <c r="Q54" i="39"/>
  <c r="Q55" i="39"/>
  <c r="Q56" i="39"/>
  <c r="Q57" i="39"/>
  <c r="Q58" i="39"/>
  <c r="Q59" i="39"/>
  <c r="Q60" i="39"/>
  <c r="Q61" i="39"/>
  <c r="Q62" i="39"/>
  <c r="Q63" i="39"/>
  <c r="Q64" i="39"/>
  <c r="Q65" i="39"/>
  <c r="Q66" i="39"/>
  <c r="Q67" i="39"/>
  <c r="Q68" i="39"/>
  <c r="Q69" i="39"/>
  <c r="Q70" i="39"/>
  <c r="Q71" i="39"/>
  <c r="Q72" i="39"/>
  <c r="Q73" i="39"/>
  <c r="Q74" i="39"/>
  <c r="Q75" i="39"/>
  <c r="Q76" i="39"/>
  <c r="Q77" i="39"/>
  <c r="Q78" i="39"/>
  <c r="Q79" i="39"/>
  <c r="Q80" i="39"/>
  <c r="Q81" i="39"/>
  <c r="Q82" i="39"/>
  <c r="Q83" i="39"/>
  <c r="Q84" i="39"/>
  <c r="Q85" i="39"/>
  <c r="Q86" i="39"/>
  <c r="Q87" i="39"/>
  <c r="Q88" i="39"/>
  <c r="Q89" i="39"/>
  <c r="Q90" i="39"/>
  <c r="Q91" i="39"/>
  <c r="Q92" i="39"/>
  <c r="Q93" i="39"/>
  <c r="Q94" i="39"/>
  <c r="Q95" i="39"/>
  <c r="Q96" i="39"/>
  <c r="Q97" i="39"/>
  <c r="Q98" i="39"/>
  <c r="Q99" i="39"/>
  <c r="Q100" i="39"/>
  <c r="Q101" i="39"/>
  <c r="Q102" i="39"/>
  <c r="Q103" i="39"/>
  <c r="Q104" i="39"/>
  <c r="Q105" i="39"/>
  <c r="Q106" i="39"/>
  <c r="Q107" i="39"/>
  <c r="Q108" i="39"/>
  <c r="Q109" i="39"/>
  <c r="Q110" i="39"/>
  <c r="Q111" i="39"/>
  <c r="Q112" i="39"/>
  <c r="Q113" i="39"/>
  <c r="Q114" i="39"/>
  <c r="Q115" i="39"/>
  <c r="Q116" i="39"/>
  <c r="Q117" i="39"/>
  <c r="Q118" i="39"/>
  <c r="Q119" i="39"/>
  <c r="Q120" i="39"/>
  <c r="Q121" i="39"/>
  <c r="Q122" i="39"/>
  <c r="Q123" i="39"/>
  <c r="Q124" i="39"/>
  <c r="Q125" i="39"/>
  <c r="Q126" i="39"/>
  <c r="Q127" i="39"/>
  <c r="Q128" i="39"/>
  <c r="Q129" i="39"/>
  <c r="Q130" i="39"/>
  <c r="Q131" i="39"/>
  <c r="Q132" i="39"/>
  <c r="Q133" i="39"/>
  <c r="Q134" i="39"/>
  <c r="Q135" i="39"/>
  <c r="Q136" i="39"/>
  <c r="Q137" i="39"/>
  <c r="Q138" i="39"/>
  <c r="Q139" i="39"/>
  <c r="Q140" i="39"/>
  <c r="Q141" i="39"/>
  <c r="Q142" i="39"/>
  <c r="Q143" i="39"/>
  <c r="Q144" i="39"/>
  <c r="Q145" i="39"/>
  <c r="Q146" i="39"/>
  <c r="Q147" i="39"/>
  <c r="Q148" i="39"/>
  <c r="Q149" i="39"/>
  <c r="Q150" i="39"/>
  <c r="Q151" i="39"/>
  <c r="Q152" i="39"/>
  <c r="Q153" i="39"/>
  <c r="Q154" i="39"/>
  <c r="Q155" i="39"/>
  <c r="Q156" i="39"/>
  <c r="Q157" i="39"/>
  <c r="Q158" i="39"/>
  <c r="Q159" i="39"/>
  <c r="Q160" i="39"/>
  <c r="Q161" i="39"/>
  <c r="Q162" i="39"/>
  <c r="Q163" i="39"/>
  <c r="Q164" i="39"/>
  <c r="Q165" i="39"/>
  <c r="Q166" i="39"/>
  <c r="Q167" i="39"/>
  <c r="Q168" i="39"/>
  <c r="Q169" i="39"/>
  <c r="Q170" i="39"/>
  <c r="Q171" i="39"/>
  <c r="Q172" i="39"/>
  <c r="Q173" i="39"/>
  <c r="Q174" i="39"/>
  <c r="Q175" i="39"/>
  <c r="Q176" i="39"/>
  <c r="Q177" i="39"/>
  <c r="Q178" i="39"/>
  <c r="Q179" i="39"/>
  <c r="Q180" i="39"/>
  <c r="Q181" i="39"/>
  <c r="Q182" i="39"/>
  <c r="Q183" i="39"/>
  <c r="Q184" i="39"/>
  <c r="Q185" i="39"/>
  <c r="Q186" i="39"/>
  <c r="Q187" i="39"/>
  <c r="Q188" i="39"/>
  <c r="Q189" i="39"/>
  <c r="Q190" i="39"/>
  <c r="Q191" i="39"/>
  <c r="Q192" i="39"/>
  <c r="Q193" i="39"/>
  <c r="Q194" i="39"/>
  <c r="Q195" i="39"/>
  <c r="Q196" i="39"/>
  <c r="Q197" i="39"/>
  <c r="Q198" i="39"/>
  <c r="Q199" i="39"/>
  <c r="Q200" i="39"/>
  <c r="Q201" i="39"/>
  <c r="Q202" i="39"/>
  <c r="Q203" i="39"/>
  <c r="Q204" i="39"/>
  <c r="Q205" i="39"/>
  <c r="Q206" i="39"/>
  <c r="Q207" i="39"/>
  <c r="Q208" i="39"/>
  <c r="Q209" i="39"/>
  <c r="Q210" i="39"/>
  <c r="Q211" i="39"/>
  <c r="Q212" i="39"/>
  <c r="Q213" i="39"/>
  <c r="Q214" i="39"/>
  <c r="Q215" i="39"/>
  <c r="Q216" i="39"/>
  <c r="Q217" i="39"/>
  <c r="Q218" i="39"/>
  <c r="Q219" i="39"/>
  <c r="Q220" i="39"/>
  <c r="Q221" i="39"/>
  <c r="Q222" i="39"/>
  <c r="Q223" i="39"/>
  <c r="Q224" i="39"/>
  <c r="Q225" i="39"/>
  <c r="Q226" i="39"/>
  <c r="Q227" i="39"/>
  <c r="Q228" i="39"/>
  <c r="Q229" i="39"/>
  <c r="Q7" i="39"/>
  <c r="P8" i="39"/>
  <c r="P9" i="39"/>
  <c r="P10" i="39"/>
  <c r="P11" i="39"/>
  <c r="P12" i="39"/>
  <c r="P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27" i="39"/>
  <c r="P28" i="39"/>
  <c r="P29" i="39"/>
  <c r="P30" i="39"/>
  <c r="P31" i="39"/>
  <c r="P32" i="39"/>
  <c r="P33" i="39"/>
  <c r="P34" i="39"/>
  <c r="P35" i="39"/>
  <c r="P36" i="39"/>
  <c r="P37" i="39"/>
  <c r="P38" i="39"/>
  <c r="P39" i="39"/>
  <c r="P40" i="39"/>
  <c r="P41" i="39"/>
  <c r="P42" i="39"/>
  <c r="P43" i="39"/>
  <c r="P44" i="39"/>
  <c r="P45" i="39"/>
  <c r="P46" i="39"/>
  <c r="P47" i="39"/>
  <c r="P48" i="39"/>
  <c r="P49" i="39"/>
  <c r="P50" i="39"/>
  <c r="P51" i="39"/>
  <c r="P52" i="39"/>
  <c r="P53" i="39"/>
  <c r="P54" i="39"/>
  <c r="P55" i="39"/>
  <c r="P56" i="39"/>
  <c r="P57" i="39"/>
  <c r="P58" i="39"/>
  <c r="P59" i="39"/>
  <c r="P60" i="39"/>
  <c r="P61" i="39"/>
  <c r="P62" i="39"/>
  <c r="P63" i="39"/>
  <c r="P64" i="39"/>
  <c r="P65" i="39"/>
  <c r="P66" i="39"/>
  <c r="P67" i="39"/>
  <c r="P68" i="39"/>
  <c r="P69" i="39"/>
  <c r="P70" i="39"/>
  <c r="P71" i="39"/>
  <c r="P72" i="39"/>
  <c r="P73" i="39"/>
  <c r="P74" i="39"/>
  <c r="P75" i="39"/>
  <c r="P76" i="39"/>
  <c r="P77" i="39"/>
  <c r="P78" i="39"/>
  <c r="P79" i="39"/>
  <c r="P80" i="39"/>
  <c r="P81" i="39"/>
  <c r="P82" i="39"/>
  <c r="P83" i="39"/>
  <c r="P84" i="39"/>
  <c r="P85" i="39"/>
  <c r="P86" i="39"/>
  <c r="P87" i="39"/>
  <c r="P88" i="39"/>
  <c r="P89" i="39"/>
  <c r="P90" i="39"/>
  <c r="P91" i="39"/>
  <c r="P92" i="39"/>
  <c r="P93" i="39"/>
  <c r="P94" i="39"/>
  <c r="P95" i="39"/>
  <c r="P96" i="39"/>
  <c r="P97" i="39"/>
  <c r="P98" i="39"/>
  <c r="P99" i="39"/>
  <c r="P100" i="39"/>
  <c r="P101" i="39"/>
  <c r="P102" i="39"/>
  <c r="P103" i="39"/>
  <c r="P104" i="39"/>
  <c r="P105" i="39"/>
  <c r="P106" i="39"/>
  <c r="P107" i="39"/>
  <c r="P108" i="39"/>
  <c r="P109" i="39"/>
  <c r="P110" i="39"/>
  <c r="P111" i="39"/>
  <c r="P112" i="39"/>
  <c r="P113" i="39"/>
  <c r="P114" i="39"/>
  <c r="P115" i="39"/>
  <c r="P116" i="39"/>
  <c r="P117" i="39"/>
  <c r="P118" i="39"/>
  <c r="P119" i="39"/>
  <c r="P120" i="39"/>
  <c r="P121" i="39"/>
  <c r="P122" i="39"/>
  <c r="P123" i="39"/>
  <c r="P124" i="39"/>
  <c r="P125" i="39"/>
  <c r="P126" i="39"/>
  <c r="P127" i="39"/>
  <c r="P128" i="39"/>
  <c r="P129" i="39"/>
  <c r="P130" i="39"/>
  <c r="P131" i="39"/>
  <c r="P132" i="39"/>
  <c r="P133" i="39"/>
  <c r="P134" i="39"/>
  <c r="P135" i="39"/>
  <c r="P136" i="39"/>
  <c r="P137" i="39"/>
  <c r="P138" i="39"/>
  <c r="P139" i="39"/>
  <c r="P140" i="39"/>
  <c r="P141" i="39"/>
  <c r="P142" i="39"/>
  <c r="P143" i="39"/>
  <c r="P144" i="39"/>
  <c r="P145" i="39"/>
  <c r="P146" i="39"/>
  <c r="P147" i="39"/>
  <c r="P148" i="39"/>
  <c r="P149" i="39"/>
  <c r="P150" i="39"/>
  <c r="P151" i="39"/>
  <c r="P152" i="39"/>
  <c r="P153" i="39"/>
  <c r="P154" i="39"/>
  <c r="P155" i="39"/>
  <c r="P156" i="39"/>
  <c r="P157" i="39"/>
  <c r="P158" i="39"/>
  <c r="P159" i="39"/>
  <c r="P160" i="39"/>
  <c r="P161" i="39"/>
  <c r="P162" i="39"/>
  <c r="P163" i="39"/>
  <c r="P164" i="39"/>
  <c r="P165" i="39"/>
  <c r="P166" i="39"/>
  <c r="P167" i="39"/>
  <c r="P168" i="39"/>
  <c r="P169" i="39"/>
  <c r="P170" i="39"/>
  <c r="P171" i="39"/>
  <c r="P172" i="39"/>
  <c r="P173" i="39"/>
  <c r="P174" i="39"/>
  <c r="P175" i="39"/>
  <c r="P176" i="39"/>
  <c r="P177" i="39"/>
  <c r="P178" i="39"/>
  <c r="P179" i="39"/>
  <c r="P180" i="39"/>
  <c r="P181" i="39"/>
  <c r="P182" i="39"/>
  <c r="P183" i="39"/>
  <c r="P184" i="39"/>
  <c r="P185" i="39"/>
  <c r="P186" i="39"/>
  <c r="P187" i="39"/>
  <c r="P188" i="39"/>
  <c r="P189" i="39"/>
  <c r="P190" i="39"/>
  <c r="P191" i="39"/>
  <c r="P192" i="39"/>
  <c r="P193" i="39"/>
  <c r="P194" i="39"/>
  <c r="P195" i="39"/>
  <c r="P196" i="39"/>
  <c r="P197" i="39"/>
  <c r="P198" i="39"/>
  <c r="P199" i="39"/>
  <c r="P200" i="39"/>
  <c r="P201" i="39"/>
  <c r="P202" i="39"/>
  <c r="P203" i="39"/>
  <c r="P204" i="39"/>
  <c r="P205" i="39"/>
  <c r="P206" i="39"/>
  <c r="P207" i="39"/>
  <c r="P208" i="39"/>
  <c r="P209" i="39"/>
  <c r="P210" i="39"/>
  <c r="P211" i="39"/>
  <c r="P212" i="39"/>
  <c r="P213" i="39"/>
  <c r="P214" i="39"/>
  <c r="P215" i="39"/>
  <c r="P216" i="39"/>
  <c r="P217" i="39"/>
  <c r="P218" i="39"/>
  <c r="P219" i="39"/>
  <c r="P220" i="39"/>
  <c r="P221" i="39"/>
  <c r="P222" i="39"/>
  <c r="P223" i="39"/>
  <c r="P224" i="39"/>
  <c r="P225" i="39"/>
  <c r="P226" i="39"/>
  <c r="P227" i="39"/>
  <c r="P228" i="39"/>
  <c r="P229" i="39"/>
  <c r="P7" i="39"/>
  <c r="O8" i="39"/>
  <c r="O9" i="39"/>
  <c r="O10" i="39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6" i="39"/>
  <c r="O27" i="39"/>
  <c r="O28" i="39"/>
  <c r="O29" i="39"/>
  <c r="O30" i="39"/>
  <c r="O31" i="39"/>
  <c r="O32" i="39"/>
  <c r="O33" i="39"/>
  <c r="O34" i="39"/>
  <c r="O35" i="39"/>
  <c r="O36" i="39"/>
  <c r="O37" i="39"/>
  <c r="O38" i="39"/>
  <c r="O39" i="39"/>
  <c r="O40" i="39"/>
  <c r="O41" i="39"/>
  <c r="O42" i="39"/>
  <c r="O43" i="39"/>
  <c r="O44" i="39"/>
  <c r="O45" i="39"/>
  <c r="O46" i="39"/>
  <c r="O47" i="39"/>
  <c r="O48" i="39"/>
  <c r="O49" i="39"/>
  <c r="O50" i="39"/>
  <c r="O51" i="39"/>
  <c r="O52" i="39"/>
  <c r="O53" i="39"/>
  <c r="O54" i="39"/>
  <c r="O55" i="39"/>
  <c r="O56" i="39"/>
  <c r="O57" i="39"/>
  <c r="O58" i="39"/>
  <c r="O59" i="39"/>
  <c r="O60" i="39"/>
  <c r="O61" i="39"/>
  <c r="O62" i="39"/>
  <c r="O63" i="39"/>
  <c r="O64" i="39"/>
  <c r="O65" i="39"/>
  <c r="O66" i="39"/>
  <c r="O67" i="39"/>
  <c r="O68" i="39"/>
  <c r="O69" i="39"/>
  <c r="O70" i="39"/>
  <c r="O71" i="39"/>
  <c r="O72" i="39"/>
  <c r="O73" i="39"/>
  <c r="O74" i="39"/>
  <c r="O75" i="39"/>
  <c r="O76" i="39"/>
  <c r="O77" i="39"/>
  <c r="O78" i="39"/>
  <c r="O79" i="39"/>
  <c r="O80" i="39"/>
  <c r="O81" i="39"/>
  <c r="O82" i="39"/>
  <c r="O83" i="39"/>
  <c r="O84" i="39"/>
  <c r="O85" i="39"/>
  <c r="O86" i="39"/>
  <c r="O87" i="39"/>
  <c r="O88" i="39"/>
  <c r="O89" i="39"/>
  <c r="O90" i="39"/>
  <c r="O91" i="39"/>
  <c r="O92" i="39"/>
  <c r="O93" i="39"/>
  <c r="O94" i="39"/>
  <c r="O95" i="39"/>
  <c r="O96" i="39"/>
  <c r="O97" i="39"/>
  <c r="O98" i="39"/>
  <c r="O99" i="39"/>
  <c r="O100" i="39"/>
  <c r="O101" i="39"/>
  <c r="O102" i="39"/>
  <c r="O103" i="39"/>
  <c r="O104" i="39"/>
  <c r="O105" i="39"/>
  <c r="O106" i="39"/>
  <c r="O107" i="39"/>
  <c r="O108" i="39"/>
  <c r="O109" i="39"/>
  <c r="O110" i="39"/>
  <c r="O111" i="39"/>
  <c r="O112" i="39"/>
  <c r="O113" i="39"/>
  <c r="O114" i="39"/>
  <c r="O115" i="39"/>
  <c r="O116" i="39"/>
  <c r="O117" i="39"/>
  <c r="O118" i="39"/>
  <c r="O119" i="39"/>
  <c r="O120" i="39"/>
  <c r="O121" i="39"/>
  <c r="O122" i="39"/>
  <c r="O123" i="39"/>
  <c r="O124" i="39"/>
  <c r="O125" i="39"/>
  <c r="O126" i="39"/>
  <c r="O127" i="39"/>
  <c r="O128" i="39"/>
  <c r="O129" i="39"/>
  <c r="O130" i="39"/>
  <c r="O131" i="39"/>
  <c r="O132" i="39"/>
  <c r="O133" i="39"/>
  <c r="O134" i="39"/>
  <c r="O135" i="39"/>
  <c r="O136" i="39"/>
  <c r="O137" i="39"/>
  <c r="O138" i="39"/>
  <c r="O139" i="39"/>
  <c r="O140" i="39"/>
  <c r="O141" i="39"/>
  <c r="O142" i="39"/>
  <c r="O143" i="39"/>
  <c r="O144" i="39"/>
  <c r="O145" i="39"/>
  <c r="O146" i="39"/>
  <c r="O147" i="39"/>
  <c r="O148" i="39"/>
  <c r="O149" i="39"/>
  <c r="O150" i="39"/>
  <c r="O151" i="39"/>
  <c r="O152" i="39"/>
  <c r="O153" i="39"/>
  <c r="O154" i="39"/>
  <c r="O155" i="39"/>
  <c r="O156" i="39"/>
  <c r="O157" i="39"/>
  <c r="O158" i="39"/>
  <c r="O159" i="39"/>
  <c r="O160" i="39"/>
  <c r="O161" i="39"/>
  <c r="O162" i="39"/>
  <c r="O163" i="39"/>
  <c r="O164" i="39"/>
  <c r="O165" i="39"/>
  <c r="O166" i="39"/>
  <c r="O167" i="39"/>
  <c r="O168" i="39"/>
  <c r="O169" i="39"/>
  <c r="O170" i="39"/>
  <c r="O171" i="39"/>
  <c r="O172" i="39"/>
  <c r="O173" i="39"/>
  <c r="O174" i="39"/>
  <c r="O175" i="39"/>
  <c r="O176" i="39"/>
  <c r="O177" i="39"/>
  <c r="O178" i="39"/>
  <c r="O179" i="39"/>
  <c r="O180" i="39"/>
  <c r="O181" i="39"/>
  <c r="O182" i="39"/>
  <c r="O183" i="39"/>
  <c r="O184" i="39"/>
  <c r="O185" i="39"/>
  <c r="O186" i="39"/>
  <c r="O187" i="39"/>
  <c r="O188" i="39"/>
  <c r="O189" i="39"/>
  <c r="O190" i="39"/>
  <c r="O191" i="39"/>
  <c r="O192" i="39"/>
  <c r="O193" i="39"/>
  <c r="O194" i="39"/>
  <c r="O195" i="39"/>
  <c r="O196" i="39"/>
  <c r="O197" i="39"/>
  <c r="O198" i="39"/>
  <c r="O199" i="39"/>
  <c r="O200" i="39"/>
  <c r="O201" i="39"/>
  <c r="O202" i="39"/>
  <c r="O203" i="39"/>
  <c r="O204" i="39"/>
  <c r="O205" i="39"/>
  <c r="O206" i="39"/>
  <c r="O207" i="39"/>
  <c r="O208" i="39"/>
  <c r="O209" i="39"/>
  <c r="O210" i="39"/>
  <c r="O211" i="39"/>
  <c r="O212" i="39"/>
  <c r="O213" i="39"/>
  <c r="O214" i="39"/>
  <c r="O215" i="39"/>
  <c r="O216" i="39"/>
  <c r="O217" i="39"/>
  <c r="O218" i="39"/>
  <c r="O219" i="39"/>
  <c r="O220" i="39"/>
  <c r="O221" i="39"/>
  <c r="O222" i="39"/>
  <c r="O223" i="39"/>
  <c r="O224" i="39"/>
  <c r="O225" i="39"/>
  <c r="O226" i="39"/>
  <c r="O227" i="39"/>
  <c r="O228" i="39"/>
  <c r="O229" i="39"/>
  <c r="O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22" i="39"/>
  <c r="N23" i="39"/>
  <c r="N24" i="39"/>
  <c r="N25" i="39"/>
  <c r="N26" i="39"/>
  <c r="N27" i="39"/>
  <c r="N28" i="39"/>
  <c r="N29" i="39"/>
  <c r="N30" i="39"/>
  <c r="N31" i="39"/>
  <c r="N32" i="39"/>
  <c r="N33" i="39"/>
  <c r="N34" i="39"/>
  <c r="N35" i="39"/>
  <c r="N36" i="39"/>
  <c r="N37" i="39"/>
  <c r="N38" i="39"/>
  <c r="N39" i="39"/>
  <c r="N40" i="39"/>
  <c r="N41" i="39"/>
  <c r="N42" i="39"/>
  <c r="N43" i="39"/>
  <c r="N44" i="39"/>
  <c r="N45" i="39"/>
  <c r="N46" i="39"/>
  <c r="N47" i="39"/>
  <c r="N48" i="39"/>
  <c r="N49" i="39"/>
  <c r="N50" i="39"/>
  <c r="N51" i="39"/>
  <c r="N52" i="39"/>
  <c r="N53" i="39"/>
  <c r="N54" i="39"/>
  <c r="N55" i="39"/>
  <c r="N56" i="39"/>
  <c r="N57" i="39"/>
  <c r="N58" i="39"/>
  <c r="N59" i="39"/>
  <c r="N60" i="39"/>
  <c r="N61" i="39"/>
  <c r="N62" i="39"/>
  <c r="N63" i="39"/>
  <c r="N64" i="39"/>
  <c r="N65" i="39"/>
  <c r="N66" i="39"/>
  <c r="N67" i="39"/>
  <c r="N68" i="39"/>
  <c r="N69" i="39"/>
  <c r="N70" i="39"/>
  <c r="N71" i="39"/>
  <c r="N72" i="39"/>
  <c r="N73" i="39"/>
  <c r="N74" i="39"/>
  <c r="N75" i="39"/>
  <c r="N76" i="39"/>
  <c r="N77" i="39"/>
  <c r="N78" i="39"/>
  <c r="N79" i="39"/>
  <c r="N80" i="39"/>
  <c r="N81" i="39"/>
  <c r="N82" i="39"/>
  <c r="N83" i="39"/>
  <c r="N84" i="39"/>
  <c r="N85" i="39"/>
  <c r="N86" i="39"/>
  <c r="N87" i="39"/>
  <c r="N88" i="39"/>
  <c r="N89" i="39"/>
  <c r="N90" i="39"/>
  <c r="N91" i="39"/>
  <c r="N92" i="39"/>
  <c r="N93" i="39"/>
  <c r="N94" i="39"/>
  <c r="N95" i="39"/>
  <c r="N96" i="39"/>
  <c r="N97" i="39"/>
  <c r="N98" i="39"/>
  <c r="N99" i="39"/>
  <c r="N100" i="39"/>
  <c r="N101" i="39"/>
  <c r="N102" i="39"/>
  <c r="N103" i="39"/>
  <c r="N104" i="39"/>
  <c r="N105" i="39"/>
  <c r="N106" i="39"/>
  <c r="N107" i="39"/>
  <c r="N108" i="39"/>
  <c r="N109" i="39"/>
  <c r="N110" i="39"/>
  <c r="N111" i="39"/>
  <c r="N112" i="39"/>
  <c r="N113" i="39"/>
  <c r="N114" i="39"/>
  <c r="N115" i="39"/>
  <c r="N116" i="39"/>
  <c r="N117" i="39"/>
  <c r="N118" i="39"/>
  <c r="N119" i="39"/>
  <c r="N120" i="39"/>
  <c r="N121" i="39"/>
  <c r="N122" i="39"/>
  <c r="N123" i="39"/>
  <c r="N124" i="39"/>
  <c r="N125" i="39"/>
  <c r="N126" i="39"/>
  <c r="N127" i="39"/>
  <c r="N128" i="39"/>
  <c r="N129" i="39"/>
  <c r="N130" i="39"/>
  <c r="N131" i="39"/>
  <c r="N132" i="39"/>
  <c r="N133" i="39"/>
  <c r="N134" i="39"/>
  <c r="N135" i="39"/>
  <c r="N136" i="39"/>
  <c r="N137" i="39"/>
  <c r="N138" i="39"/>
  <c r="N139" i="39"/>
  <c r="N140" i="39"/>
  <c r="N141" i="39"/>
  <c r="N142" i="39"/>
  <c r="N143" i="39"/>
  <c r="N144" i="39"/>
  <c r="N145" i="39"/>
  <c r="N146" i="39"/>
  <c r="N147" i="39"/>
  <c r="N148" i="39"/>
  <c r="N149" i="39"/>
  <c r="N150" i="39"/>
  <c r="N151" i="39"/>
  <c r="N152" i="39"/>
  <c r="N153" i="39"/>
  <c r="N154" i="39"/>
  <c r="N155" i="39"/>
  <c r="N156" i="39"/>
  <c r="N157" i="39"/>
  <c r="N158" i="39"/>
  <c r="N159" i="39"/>
  <c r="N160" i="39"/>
  <c r="N161" i="39"/>
  <c r="N162" i="39"/>
  <c r="N163" i="39"/>
  <c r="N164" i="39"/>
  <c r="N165" i="39"/>
  <c r="N166" i="39"/>
  <c r="N167" i="39"/>
  <c r="N168" i="39"/>
  <c r="N169" i="39"/>
  <c r="N170" i="39"/>
  <c r="N171" i="39"/>
  <c r="N172" i="39"/>
  <c r="N173" i="39"/>
  <c r="N174" i="39"/>
  <c r="N175" i="39"/>
  <c r="N176" i="39"/>
  <c r="N177" i="39"/>
  <c r="N178" i="39"/>
  <c r="N179" i="39"/>
  <c r="N180" i="39"/>
  <c r="N181" i="39"/>
  <c r="N182" i="39"/>
  <c r="N183" i="39"/>
  <c r="N184" i="39"/>
  <c r="N185" i="39"/>
  <c r="N186" i="39"/>
  <c r="N187" i="39"/>
  <c r="N188" i="39"/>
  <c r="N189" i="39"/>
  <c r="N190" i="39"/>
  <c r="N191" i="39"/>
  <c r="N192" i="39"/>
  <c r="N193" i="39"/>
  <c r="N194" i="39"/>
  <c r="N195" i="39"/>
  <c r="N196" i="39"/>
  <c r="N197" i="39"/>
  <c r="N198" i="39"/>
  <c r="N199" i="39"/>
  <c r="N200" i="39"/>
  <c r="N201" i="39"/>
  <c r="N202" i="39"/>
  <c r="N203" i="39"/>
  <c r="N204" i="39"/>
  <c r="N205" i="39"/>
  <c r="N206" i="39"/>
  <c r="N207" i="39"/>
  <c r="N208" i="39"/>
  <c r="N209" i="39"/>
  <c r="N210" i="39"/>
  <c r="N211" i="39"/>
  <c r="N212" i="39"/>
  <c r="N213" i="39"/>
  <c r="N214" i="39"/>
  <c r="N215" i="39"/>
  <c r="N216" i="39"/>
  <c r="N217" i="39"/>
  <c r="N218" i="39"/>
  <c r="N219" i="39"/>
  <c r="N220" i="39"/>
  <c r="N221" i="39"/>
  <c r="N222" i="39"/>
  <c r="N223" i="39"/>
  <c r="N224" i="39"/>
  <c r="N225" i="39"/>
  <c r="N226" i="39"/>
  <c r="N227" i="39"/>
  <c r="N228" i="39"/>
  <c r="N229" i="39"/>
  <c r="N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22" i="39"/>
  <c r="M23" i="39"/>
  <c r="M24" i="39"/>
  <c r="M25" i="39"/>
  <c r="M26" i="39"/>
  <c r="M27" i="39"/>
  <c r="M28" i="39"/>
  <c r="M29" i="39"/>
  <c r="M30" i="39"/>
  <c r="M31" i="39"/>
  <c r="M32" i="39"/>
  <c r="M33" i="39"/>
  <c r="M34" i="39"/>
  <c r="M35" i="39"/>
  <c r="M36" i="39"/>
  <c r="M37" i="39"/>
  <c r="M38" i="39"/>
  <c r="M39" i="39"/>
  <c r="M40" i="39"/>
  <c r="M41" i="39"/>
  <c r="M42" i="39"/>
  <c r="M43" i="39"/>
  <c r="M44" i="39"/>
  <c r="M45" i="39"/>
  <c r="M46" i="39"/>
  <c r="M47" i="39"/>
  <c r="M48" i="39"/>
  <c r="M49" i="39"/>
  <c r="M50" i="39"/>
  <c r="M51" i="39"/>
  <c r="M52" i="39"/>
  <c r="M53" i="39"/>
  <c r="M54" i="39"/>
  <c r="M55" i="39"/>
  <c r="M56" i="39"/>
  <c r="M57" i="39"/>
  <c r="M58" i="39"/>
  <c r="M59" i="39"/>
  <c r="M60" i="39"/>
  <c r="M61" i="39"/>
  <c r="M62" i="39"/>
  <c r="M63" i="39"/>
  <c r="M64" i="39"/>
  <c r="M65" i="39"/>
  <c r="M66" i="39"/>
  <c r="M67" i="39"/>
  <c r="M68" i="39"/>
  <c r="M69" i="39"/>
  <c r="M70" i="39"/>
  <c r="M71" i="39"/>
  <c r="M72" i="39"/>
  <c r="M73" i="39"/>
  <c r="M74" i="39"/>
  <c r="M75" i="39"/>
  <c r="M76" i="39"/>
  <c r="M77" i="39"/>
  <c r="M78" i="39"/>
  <c r="M79" i="39"/>
  <c r="M80" i="39"/>
  <c r="M81" i="39"/>
  <c r="M82" i="39"/>
  <c r="M83" i="39"/>
  <c r="M84" i="39"/>
  <c r="M85" i="39"/>
  <c r="M86" i="39"/>
  <c r="M87" i="39"/>
  <c r="M88" i="39"/>
  <c r="M89" i="39"/>
  <c r="M90" i="39"/>
  <c r="M91" i="39"/>
  <c r="M92" i="39"/>
  <c r="M93" i="39"/>
  <c r="M94" i="39"/>
  <c r="M95" i="39"/>
  <c r="M96" i="39"/>
  <c r="M97" i="39"/>
  <c r="M98" i="39"/>
  <c r="M99" i="39"/>
  <c r="M100" i="39"/>
  <c r="M101" i="39"/>
  <c r="M102" i="39"/>
  <c r="M103" i="39"/>
  <c r="M104" i="39"/>
  <c r="M105" i="39"/>
  <c r="M106" i="39"/>
  <c r="M107" i="39"/>
  <c r="M108" i="39"/>
  <c r="M109" i="39"/>
  <c r="M110" i="39"/>
  <c r="M111" i="39"/>
  <c r="M112" i="39"/>
  <c r="M113" i="39"/>
  <c r="M114" i="39"/>
  <c r="M115" i="39"/>
  <c r="M116" i="39"/>
  <c r="M117" i="39"/>
  <c r="M118" i="39"/>
  <c r="M119" i="39"/>
  <c r="M120" i="39"/>
  <c r="M121" i="39"/>
  <c r="M122" i="39"/>
  <c r="M123" i="39"/>
  <c r="M124" i="39"/>
  <c r="M125" i="39"/>
  <c r="M126" i="39"/>
  <c r="M127" i="39"/>
  <c r="M128" i="39"/>
  <c r="M129" i="39"/>
  <c r="M130" i="39"/>
  <c r="M131" i="39"/>
  <c r="M132" i="39"/>
  <c r="M133" i="39"/>
  <c r="M134" i="39"/>
  <c r="M135" i="39"/>
  <c r="M136" i="39"/>
  <c r="M137" i="39"/>
  <c r="M138" i="39"/>
  <c r="M139" i="39"/>
  <c r="M140" i="39"/>
  <c r="M141" i="39"/>
  <c r="M142" i="39"/>
  <c r="M143" i="39"/>
  <c r="M144" i="39"/>
  <c r="M145" i="39"/>
  <c r="M146" i="39"/>
  <c r="M147" i="39"/>
  <c r="M148" i="39"/>
  <c r="M149" i="39"/>
  <c r="M150" i="39"/>
  <c r="M151" i="39"/>
  <c r="M152" i="39"/>
  <c r="M153" i="39"/>
  <c r="M154" i="39"/>
  <c r="M155" i="39"/>
  <c r="M156" i="39"/>
  <c r="M157" i="39"/>
  <c r="M158" i="39"/>
  <c r="M159" i="39"/>
  <c r="M160" i="39"/>
  <c r="M161" i="39"/>
  <c r="M162" i="39"/>
  <c r="M163" i="39"/>
  <c r="M164" i="39"/>
  <c r="M165" i="39"/>
  <c r="M166" i="39"/>
  <c r="M167" i="39"/>
  <c r="M168" i="39"/>
  <c r="M169" i="39"/>
  <c r="M170" i="39"/>
  <c r="M171" i="39"/>
  <c r="M172" i="39"/>
  <c r="M173" i="39"/>
  <c r="M174" i="39"/>
  <c r="M175" i="39"/>
  <c r="M176" i="39"/>
  <c r="M177" i="39"/>
  <c r="M178" i="39"/>
  <c r="M179" i="39"/>
  <c r="M180" i="39"/>
  <c r="M181" i="39"/>
  <c r="M182" i="39"/>
  <c r="M183" i="39"/>
  <c r="M184" i="39"/>
  <c r="M185" i="39"/>
  <c r="M186" i="39"/>
  <c r="M187" i="39"/>
  <c r="M188" i="39"/>
  <c r="M189" i="39"/>
  <c r="M190" i="39"/>
  <c r="M191" i="39"/>
  <c r="M192" i="39"/>
  <c r="M193" i="39"/>
  <c r="M194" i="39"/>
  <c r="M195" i="39"/>
  <c r="M196" i="39"/>
  <c r="M197" i="39"/>
  <c r="M198" i="39"/>
  <c r="M199" i="39"/>
  <c r="M200" i="39"/>
  <c r="M201" i="39"/>
  <c r="M202" i="39"/>
  <c r="M203" i="39"/>
  <c r="M204" i="39"/>
  <c r="M205" i="39"/>
  <c r="M206" i="39"/>
  <c r="M207" i="39"/>
  <c r="M208" i="39"/>
  <c r="M209" i="39"/>
  <c r="M210" i="39"/>
  <c r="M211" i="39"/>
  <c r="M212" i="39"/>
  <c r="M213" i="39"/>
  <c r="M214" i="39"/>
  <c r="M215" i="39"/>
  <c r="M216" i="39"/>
  <c r="M217" i="39"/>
  <c r="M218" i="39"/>
  <c r="M219" i="39"/>
  <c r="M220" i="39"/>
  <c r="M221" i="39"/>
  <c r="M222" i="39"/>
  <c r="M223" i="39"/>
  <c r="M224" i="39"/>
  <c r="M225" i="39"/>
  <c r="M226" i="39"/>
  <c r="M227" i="39"/>
  <c r="M228" i="39"/>
  <c r="M229" i="39"/>
  <c r="M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22" i="39"/>
  <c r="L23" i="39"/>
  <c r="L24" i="39"/>
  <c r="L25" i="39"/>
  <c r="L26" i="39"/>
  <c r="L27" i="39"/>
  <c r="L28" i="39"/>
  <c r="L29" i="39"/>
  <c r="L30" i="39"/>
  <c r="L31" i="39"/>
  <c r="L32" i="39"/>
  <c r="L33" i="39"/>
  <c r="L34" i="39"/>
  <c r="L35" i="39"/>
  <c r="L36" i="39"/>
  <c r="L37" i="39"/>
  <c r="L38" i="39"/>
  <c r="L39" i="39"/>
  <c r="L40" i="39"/>
  <c r="L41" i="39"/>
  <c r="L42" i="39"/>
  <c r="L43" i="39"/>
  <c r="L44" i="39"/>
  <c r="L45" i="39"/>
  <c r="L46" i="39"/>
  <c r="L47" i="39"/>
  <c r="L48" i="39"/>
  <c r="L49" i="39"/>
  <c r="L50" i="39"/>
  <c r="L51" i="39"/>
  <c r="L52" i="39"/>
  <c r="L53" i="39"/>
  <c r="L54" i="39"/>
  <c r="L55" i="39"/>
  <c r="L56" i="39"/>
  <c r="L57" i="39"/>
  <c r="L58" i="39"/>
  <c r="L59" i="39"/>
  <c r="L60" i="39"/>
  <c r="L61" i="39"/>
  <c r="L62" i="39"/>
  <c r="L63" i="39"/>
  <c r="L64" i="39"/>
  <c r="L65" i="39"/>
  <c r="L66" i="39"/>
  <c r="L67" i="39"/>
  <c r="L68" i="39"/>
  <c r="L69" i="39"/>
  <c r="L70" i="39"/>
  <c r="L71" i="39"/>
  <c r="L72" i="39"/>
  <c r="L73" i="39"/>
  <c r="L74" i="39"/>
  <c r="L75" i="39"/>
  <c r="L76" i="39"/>
  <c r="L77" i="39"/>
  <c r="L78" i="39"/>
  <c r="L79" i="39"/>
  <c r="L80" i="39"/>
  <c r="L81" i="39"/>
  <c r="L82" i="39"/>
  <c r="L83" i="39"/>
  <c r="L84" i="39"/>
  <c r="L85" i="39"/>
  <c r="L86" i="39"/>
  <c r="L87" i="39"/>
  <c r="L88" i="39"/>
  <c r="L89" i="39"/>
  <c r="L90" i="39"/>
  <c r="L91" i="39"/>
  <c r="L92" i="39"/>
  <c r="L93" i="39"/>
  <c r="L94" i="39"/>
  <c r="L95" i="39"/>
  <c r="L96" i="39"/>
  <c r="L97" i="39"/>
  <c r="L98" i="39"/>
  <c r="L99" i="39"/>
  <c r="L100" i="39"/>
  <c r="L101" i="39"/>
  <c r="L102" i="39"/>
  <c r="L103" i="39"/>
  <c r="L104" i="39"/>
  <c r="L105" i="39"/>
  <c r="L106" i="39"/>
  <c r="L107" i="39"/>
  <c r="L108" i="39"/>
  <c r="L109" i="39"/>
  <c r="L110" i="39"/>
  <c r="L111" i="39"/>
  <c r="L112" i="39"/>
  <c r="L113" i="39"/>
  <c r="L114" i="39"/>
  <c r="L115" i="39"/>
  <c r="L116" i="39"/>
  <c r="L117" i="39"/>
  <c r="L118" i="39"/>
  <c r="L119" i="39"/>
  <c r="L120" i="39"/>
  <c r="L121" i="39"/>
  <c r="L122" i="39"/>
  <c r="L123" i="39"/>
  <c r="L124" i="39"/>
  <c r="L125" i="39"/>
  <c r="L126" i="39"/>
  <c r="L127" i="39"/>
  <c r="L128" i="39"/>
  <c r="L129" i="39"/>
  <c r="L130" i="39"/>
  <c r="L131" i="39"/>
  <c r="L132" i="39"/>
  <c r="L133" i="39"/>
  <c r="L134" i="39"/>
  <c r="L135" i="39"/>
  <c r="L136" i="39"/>
  <c r="L137" i="39"/>
  <c r="L138" i="39"/>
  <c r="L139" i="39"/>
  <c r="L140" i="39"/>
  <c r="L141" i="39"/>
  <c r="L142" i="39"/>
  <c r="L143" i="39"/>
  <c r="L144" i="39"/>
  <c r="L145" i="39"/>
  <c r="L146" i="39"/>
  <c r="L147" i="39"/>
  <c r="L148" i="39"/>
  <c r="L149" i="39"/>
  <c r="L150" i="39"/>
  <c r="L151" i="39"/>
  <c r="L152" i="39"/>
  <c r="L153" i="39"/>
  <c r="L154" i="39"/>
  <c r="L155" i="39"/>
  <c r="L156" i="39"/>
  <c r="L157" i="39"/>
  <c r="L158" i="39"/>
  <c r="L159" i="39"/>
  <c r="L160" i="39"/>
  <c r="L161" i="39"/>
  <c r="L162" i="39"/>
  <c r="L163" i="39"/>
  <c r="L164" i="39"/>
  <c r="L165" i="39"/>
  <c r="L166" i="39"/>
  <c r="L167" i="39"/>
  <c r="L168" i="39"/>
  <c r="L169" i="39"/>
  <c r="L170" i="39"/>
  <c r="L171" i="39"/>
  <c r="L172" i="39"/>
  <c r="L173" i="39"/>
  <c r="L174" i="39"/>
  <c r="L175" i="39"/>
  <c r="L176" i="39"/>
  <c r="L177" i="39"/>
  <c r="L178" i="39"/>
  <c r="L179" i="39"/>
  <c r="L180" i="39"/>
  <c r="L181" i="39"/>
  <c r="L182" i="39"/>
  <c r="L183" i="39"/>
  <c r="L184" i="39"/>
  <c r="L185" i="39"/>
  <c r="L186" i="39"/>
  <c r="L187" i="39"/>
  <c r="L188" i="39"/>
  <c r="L189" i="39"/>
  <c r="L190" i="39"/>
  <c r="L191" i="39"/>
  <c r="L192" i="39"/>
  <c r="L193" i="39"/>
  <c r="L194" i="39"/>
  <c r="L195" i="39"/>
  <c r="L196" i="39"/>
  <c r="L197" i="39"/>
  <c r="L198" i="39"/>
  <c r="L199" i="39"/>
  <c r="L200" i="39"/>
  <c r="L201" i="39"/>
  <c r="L202" i="39"/>
  <c r="L203" i="39"/>
  <c r="L204" i="39"/>
  <c r="L205" i="39"/>
  <c r="L206" i="39"/>
  <c r="L207" i="39"/>
  <c r="L208" i="39"/>
  <c r="L209" i="39"/>
  <c r="L210" i="39"/>
  <c r="L211" i="39"/>
  <c r="L212" i="39"/>
  <c r="L213" i="39"/>
  <c r="L214" i="39"/>
  <c r="L215" i="39"/>
  <c r="L216" i="39"/>
  <c r="L217" i="39"/>
  <c r="L218" i="39"/>
  <c r="L219" i="39"/>
  <c r="L220" i="39"/>
  <c r="L221" i="39"/>
  <c r="L222" i="39"/>
  <c r="L223" i="39"/>
  <c r="L224" i="39"/>
  <c r="L225" i="39"/>
  <c r="L226" i="39"/>
  <c r="L227" i="39"/>
  <c r="L228" i="39"/>
  <c r="L229" i="39"/>
  <c r="L7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22" i="39"/>
  <c r="K23" i="39"/>
  <c r="K24" i="39"/>
  <c r="K25" i="39"/>
  <c r="K26" i="39"/>
  <c r="K27" i="39"/>
  <c r="K28" i="39"/>
  <c r="K29" i="39"/>
  <c r="K30" i="39"/>
  <c r="K31" i="39"/>
  <c r="K32" i="39"/>
  <c r="K33" i="39"/>
  <c r="K34" i="39"/>
  <c r="K35" i="39"/>
  <c r="K36" i="39"/>
  <c r="K37" i="39"/>
  <c r="K38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K53" i="39"/>
  <c r="K54" i="39"/>
  <c r="K55" i="39"/>
  <c r="K56" i="39"/>
  <c r="K57" i="39"/>
  <c r="K58" i="39"/>
  <c r="K59" i="39"/>
  <c r="K60" i="39"/>
  <c r="K61" i="39"/>
  <c r="K62" i="39"/>
  <c r="K63" i="39"/>
  <c r="K64" i="39"/>
  <c r="K65" i="39"/>
  <c r="K66" i="39"/>
  <c r="K67" i="39"/>
  <c r="K68" i="39"/>
  <c r="K69" i="39"/>
  <c r="K70" i="39"/>
  <c r="K71" i="39"/>
  <c r="K72" i="39"/>
  <c r="K73" i="39"/>
  <c r="K74" i="39"/>
  <c r="K75" i="39"/>
  <c r="K76" i="39"/>
  <c r="K77" i="39"/>
  <c r="K78" i="39"/>
  <c r="K79" i="39"/>
  <c r="K80" i="39"/>
  <c r="K81" i="39"/>
  <c r="K82" i="39"/>
  <c r="K83" i="39"/>
  <c r="K84" i="39"/>
  <c r="K85" i="39"/>
  <c r="K86" i="39"/>
  <c r="K87" i="39"/>
  <c r="K88" i="39"/>
  <c r="K89" i="39"/>
  <c r="K90" i="39"/>
  <c r="K91" i="39"/>
  <c r="K92" i="39"/>
  <c r="K93" i="39"/>
  <c r="K94" i="39"/>
  <c r="K95" i="39"/>
  <c r="K96" i="39"/>
  <c r="K97" i="39"/>
  <c r="K98" i="39"/>
  <c r="K99" i="39"/>
  <c r="K100" i="39"/>
  <c r="K101" i="39"/>
  <c r="K102" i="39"/>
  <c r="K103" i="39"/>
  <c r="K104" i="39"/>
  <c r="K105" i="39"/>
  <c r="K106" i="39"/>
  <c r="K107" i="39"/>
  <c r="K108" i="39"/>
  <c r="K109" i="39"/>
  <c r="K110" i="39"/>
  <c r="K111" i="39"/>
  <c r="K112" i="39"/>
  <c r="K113" i="39"/>
  <c r="K114" i="39"/>
  <c r="K115" i="39"/>
  <c r="K116" i="39"/>
  <c r="K117" i="39"/>
  <c r="K118" i="39"/>
  <c r="K119" i="39"/>
  <c r="K120" i="39"/>
  <c r="K121" i="39"/>
  <c r="K122" i="39"/>
  <c r="K123" i="39"/>
  <c r="K124" i="39"/>
  <c r="K125" i="39"/>
  <c r="K126" i="39"/>
  <c r="K127" i="39"/>
  <c r="K128" i="39"/>
  <c r="K129" i="39"/>
  <c r="K130" i="39"/>
  <c r="K131" i="39"/>
  <c r="K132" i="39"/>
  <c r="K133" i="39"/>
  <c r="K134" i="39"/>
  <c r="K135" i="39"/>
  <c r="K136" i="39"/>
  <c r="K137" i="39"/>
  <c r="K138" i="39"/>
  <c r="K139" i="39"/>
  <c r="K140" i="39"/>
  <c r="K141" i="39"/>
  <c r="K142" i="39"/>
  <c r="K143" i="39"/>
  <c r="K144" i="39"/>
  <c r="K145" i="39"/>
  <c r="K146" i="39"/>
  <c r="K147" i="39"/>
  <c r="K148" i="39"/>
  <c r="K149" i="39"/>
  <c r="K150" i="39"/>
  <c r="K151" i="39"/>
  <c r="K152" i="39"/>
  <c r="K153" i="39"/>
  <c r="K154" i="39"/>
  <c r="K155" i="39"/>
  <c r="K156" i="39"/>
  <c r="K157" i="39"/>
  <c r="K158" i="39"/>
  <c r="K159" i="39"/>
  <c r="K160" i="39"/>
  <c r="K161" i="39"/>
  <c r="K162" i="39"/>
  <c r="K163" i="39"/>
  <c r="K164" i="39"/>
  <c r="K165" i="39"/>
  <c r="K166" i="39"/>
  <c r="K167" i="39"/>
  <c r="K168" i="39"/>
  <c r="K169" i="39"/>
  <c r="K170" i="39"/>
  <c r="K171" i="39"/>
  <c r="K172" i="39"/>
  <c r="K173" i="39"/>
  <c r="K174" i="39"/>
  <c r="K175" i="39"/>
  <c r="K176" i="39"/>
  <c r="K177" i="39"/>
  <c r="K178" i="39"/>
  <c r="K179" i="39"/>
  <c r="K180" i="39"/>
  <c r="K181" i="39"/>
  <c r="K182" i="39"/>
  <c r="K183" i="39"/>
  <c r="K184" i="39"/>
  <c r="K185" i="39"/>
  <c r="K186" i="39"/>
  <c r="K187" i="39"/>
  <c r="K188" i="39"/>
  <c r="K189" i="39"/>
  <c r="K190" i="39"/>
  <c r="K191" i="39"/>
  <c r="K192" i="39"/>
  <c r="K193" i="39"/>
  <c r="K194" i="39"/>
  <c r="K195" i="39"/>
  <c r="K196" i="39"/>
  <c r="K197" i="39"/>
  <c r="K198" i="39"/>
  <c r="K199" i="39"/>
  <c r="K200" i="39"/>
  <c r="K201" i="39"/>
  <c r="K202" i="39"/>
  <c r="K203" i="39"/>
  <c r="K204" i="39"/>
  <c r="K205" i="39"/>
  <c r="K206" i="39"/>
  <c r="K207" i="39"/>
  <c r="K208" i="39"/>
  <c r="K209" i="39"/>
  <c r="K210" i="39"/>
  <c r="K211" i="39"/>
  <c r="K212" i="39"/>
  <c r="K213" i="39"/>
  <c r="K214" i="39"/>
  <c r="K215" i="39"/>
  <c r="K216" i="39"/>
  <c r="K217" i="39"/>
  <c r="K218" i="39"/>
  <c r="K219" i="39"/>
  <c r="K220" i="39"/>
  <c r="K221" i="39"/>
  <c r="K222" i="39"/>
  <c r="K223" i="39"/>
  <c r="K224" i="39"/>
  <c r="K225" i="39"/>
  <c r="K226" i="39"/>
  <c r="K227" i="39"/>
  <c r="K228" i="39"/>
  <c r="K229" i="39"/>
  <c r="K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29" i="39"/>
  <c r="J30" i="39"/>
  <c r="J31" i="39"/>
  <c r="J32" i="39"/>
  <c r="J33" i="39"/>
  <c r="J34" i="39"/>
  <c r="J35" i="39"/>
  <c r="J36" i="39"/>
  <c r="J37" i="39"/>
  <c r="J38" i="39"/>
  <c r="J39" i="39"/>
  <c r="J40" i="39"/>
  <c r="J41" i="39"/>
  <c r="J42" i="39"/>
  <c r="J43" i="39"/>
  <c r="J44" i="39"/>
  <c r="J45" i="39"/>
  <c r="J46" i="39"/>
  <c r="J47" i="39"/>
  <c r="J48" i="39"/>
  <c r="J49" i="39"/>
  <c r="J50" i="39"/>
  <c r="J51" i="39"/>
  <c r="J52" i="39"/>
  <c r="J53" i="39"/>
  <c r="J54" i="39"/>
  <c r="J55" i="39"/>
  <c r="J56" i="39"/>
  <c r="J57" i="39"/>
  <c r="J58" i="39"/>
  <c r="J59" i="39"/>
  <c r="J60" i="39"/>
  <c r="J61" i="39"/>
  <c r="J62" i="39"/>
  <c r="J63" i="39"/>
  <c r="J64" i="39"/>
  <c r="J65" i="39"/>
  <c r="J66" i="39"/>
  <c r="J67" i="39"/>
  <c r="J68" i="39"/>
  <c r="J69" i="39"/>
  <c r="J70" i="39"/>
  <c r="J71" i="39"/>
  <c r="J72" i="39"/>
  <c r="J73" i="39"/>
  <c r="J74" i="39"/>
  <c r="J75" i="39"/>
  <c r="J76" i="39"/>
  <c r="J77" i="39"/>
  <c r="J78" i="39"/>
  <c r="J79" i="39"/>
  <c r="J80" i="39"/>
  <c r="J81" i="39"/>
  <c r="J82" i="39"/>
  <c r="J83" i="39"/>
  <c r="J84" i="39"/>
  <c r="J85" i="39"/>
  <c r="J86" i="39"/>
  <c r="J87" i="39"/>
  <c r="J88" i="39"/>
  <c r="J89" i="39"/>
  <c r="J90" i="39"/>
  <c r="J91" i="39"/>
  <c r="J92" i="39"/>
  <c r="J93" i="39"/>
  <c r="J94" i="39"/>
  <c r="J95" i="39"/>
  <c r="J96" i="39"/>
  <c r="J97" i="39"/>
  <c r="J98" i="39"/>
  <c r="J99" i="39"/>
  <c r="J100" i="39"/>
  <c r="J101" i="39"/>
  <c r="J102" i="39"/>
  <c r="J103" i="39"/>
  <c r="J104" i="39"/>
  <c r="J105" i="39"/>
  <c r="J106" i="39"/>
  <c r="J107" i="39"/>
  <c r="J108" i="39"/>
  <c r="J109" i="39"/>
  <c r="J110" i="39"/>
  <c r="J111" i="39"/>
  <c r="J112" i="39"/>
  <c r="J113" i="39"/>
  <c r="J114" i="39"/>
  <c r="J115" i="39"/>
  <c r="J116" i="39"/>
  <c r="J117" i="39"/>
  <c r="J118" i="39"/>
  <c r="J119" i="39"/>
  <c r="J120" i="39"/>
  <c r="J121" i="39"/>
  <c r="J122" i="39"/>
  <c r="J123" i="39"/>
  <c r="J124" i="39"/>
  <c r="J125" i="39"/>
  <c r="J126" i="39"/>
  <c r="J127" i="39"/>
  <c r="J128" i="39"/>
  <c r="J129" i="39"/>
  <c r="J130" i="39"/>
  <c r="J131" i="39"/>
  <c r="J132" i="39"/>
  <c r="J133" i="39"/>
  <c r="J134" i="39"/>
  <c r="J135" i="39"/>
  <c r="J136" i="39"/>
  <c r="J137" i="39"/>
  <c r="J138" i="39"/>
  <c r="J139" i="39"/>
  <c r="J140" i="39"/>
  <c r="J141" i="39"/>
  <c r="J142" i="39"/>
  <c r="J143" i="39"/>
  <c r="J144" i="39"/>
  <c r="J145" i="39"/>
  <c r="J146" i="39"/>
  <c r="J147" i="39"/>
  <c r="J148" i="39"/>
  <c r="J149" i="39"/>
  <c r="J150" i="39"/>
  <c r="J151" i="39"/>
  <c r="J152" i="39"/>
  <c r="J153" i="39"/>
  <c r="J154" i="39"/>
  <c r="J155" i="39"/>
  <c r="J156" i="39"/>
  <c r="J157" i="39"/>
  <c r="J158" i="39"/>
  <c r="J159" i="39"/>
  <c r="J160" i="39"/>
  <c r="J161" i="39"/>
  <c r="J162" i="39"/>
  <c r="J163" i="39"/>
  <c r="J164" i="39"/>
  <c r="J165" i="39"/>
  <c r="J166" i="39"/>
  <c r="J167" i="39"/>
  <c r="J168" i="39"/>
  <c r="J169" i="39"/>
  <c r="J170" i="39"/>
  <c r="J171" i="39"/>
  <c r="J172" i="39"/>
  <c r="J173" i="39"/>
  <c r="J174" i="39"/>
  <c r="J175" i="39"/>
  <c r="J176" i="39"/>
  <c r="J177" i="39"/>
  <c r="J178" i="39"/>
  <c r="J179" i="39"/>
  <c r="J180" i="39"/>
  <c r="J181" i="39"/>
  <c r="J182" i="39"/>
  <c r="J183" i="39"/>
  <c r="J184" i="39"/>
  <c r="J185" i="39"/>
  <c r="J186" i="39"/>
  <c r="J187" i="39"/>
  <c r="J188" i="39"/>
  <c r="J189" i="39"/>
  <c r="J190" i="39"/>
  <c r="J191" i="39"/>
  <c r="J192" i="39"/>
  <c r="J193" i="39"/>
  <c r="J194" i="39"/>
  <c r="J195" i="39"/>
  <c r="J196" i="39"/>
  <c r="J197" i="39"/>
  <c r="J198" i="39"/>
  <c r="J199" i="39"/>
  <c r="J200" i="39"/>
  <c r="J201" i="39"/>
  <c r="J202" i="39"/>
  <c r="J203" i="39"/>
  <c r="J204" i="39"/>
  <c r="J205" i="39"/>
  <c r="J206" i="39"/>
  <c r="J207" i="39"/>
  <c r="J208" i="39"/>
  <c r="J209" i="39"/>
  <c r="J210" i="39"/>
  <c r="J211" i="39"/>
  <c r="J212" i="39"/>
  <c r="J213" i="39"/>
  <c r="J214" i="39"/>
  <c r="J215" i="39"/>
  <c r="J216" i="39"/>
  <c r="J217" i="39"/>
  <c r="J218" i="39"/>
  <c r="J219" i="39"/>
  <c r="J220" i="39"/>
  <c r="J221" i="39"/>
  <c r="J222" i="39"/>
  <c r="J223" i="39"/>
  <c r="J224" i="39"/>
  <c r="J225" i="39"/>
  <c r="J226" i="39"/>
  <c r="J227" i="39"/>
  <c r="J228" i="39"/>
  <c r="J229" i="39"/>
  <c r="J8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29" i="39"/>
  <c r="I30" i="39"/>
  <c r="I31" i="39"/>
  <c r="I32" i="39"/>
  <c r="I33" i="39"/>
  <c r="I34" i="39"/>
  <c r="I35" i="39"/>
  <c r="I36" i="39"/>
  <c r="I37" i="39"/>
  <c r="I38" i="39"/>
  <c r="I39" i="39"/>
  <c r="I40" i="39"/>
  <c r="I41" i="39"/>
  <c r="I42" i="39"/>
  <c r="I43" i="39"/>
  <c r="I44" i="39"/>
  <c r="I45" i="39"/>
  <c r="I46" i="39"/>
  <c r="I47" i="39"/>
  <c r="I48" i="39"/>
  <c r="I49" i="39"/>
  <c r="I50" i="39"/>
  <c r="I51" i="39"/>
  <c r="I52" i="39"/>
  <c r="I53" i="39"/>
  <c r="I54" i="39"/>
  <c r="I55" i="39"/>
  <c r="I56" i="39"/>
  <c r="I57" i="39"/>
  <c r="I58" i="39"/>
  <c r="I59" i="39"/>
  <c r="I60" i="39"/>
  <c r="I61" i="39"/>
  <c r="I62" i="39"/>
  <c r="I63" i="39"/>
  <c r="I64" i="39"/>
  <c r="I65" i="39"/>
  <c r="I66" i="39"/>
  <c r="I67" i="39"/>
  <c r="I68" i="39"/>
  <c r="I69" i="39"/>
  <c r="I70" i="39"/>
  <c r="I71" i="39"/>
  <c r="I72" i="39"/>
  <c r="I73" i="39"/>
  <c r="I74" i="39"/>
  <c r="I75" i="39"/>
  <c r="I76" i="39"/>
  <c r="I77" i="39"/>
  <c r="I78" i="39"/>
  <c r="I79" i="39"/>
  <c r="I80" i="39"/>
  <c r="I81" i="39"/>
  <c r="I82" i="39"/>
  <c r="I83" i="39"/>
  <c r="I84" i="39"/>
  <c r="I85" i="39"/>
  <c r="I86" i="39"/>
  <c r="I87" i="39"/>
  <c r="I88" i="39"/>
  <c r="I89" i="39"/>
  <c r="I90" i="39"/>
  <c r="I91" i="39"/>
  <c r="I92" i="39"/>
  <c r="I93" i="39"/>
  <c r="I94" i="39"/>
  <c r="I95" i="39"/>
  <c r="I96" i="39"/>
  <c r="I97" i="39"/>
  <c r="I98" i="39"/>
  <c r="I99" i="39"/>
  <c r="I100" i="39"/>
  <c r="I101" i="39"/>
  <c r="I102" i="39"/>
  <c r="I103" i="39"/>
  <c r="I104" i="39"/>
  <c r="I105" i="39"/>
  <c r="I106" i="39"/>
  <c r="I107" i="39"/>
  <c r="I108" i="39"/>
  <c r="I109" i="39"/>
  <c r="I110" i="39"/>
  <c r="I111" i="39"/>
  <c r="I112" i="39"/>
  <c r="I113" i="39"/>
  <c r="I114" i="39"/>
  <c r="I115" i="39"/>
  <c r="I116" i="39"/>
  <c r="I117" i="39"/>
  <c r="I118" i="39"/>
  <c r="I119" i="39"/>
  <c r="I120" i="39"/>
  <c r="I121" i="39"/>
  <c r="I122" i="39"/>
  <c r="I123" i="39"/>
  <c r="I124" i="39"/>
  <c r="I125" i="39"/>
  <c r="I126" i="39"/>
  <c r="I127" i="39"/>
  <c r="I128" i="39"/>
  <c r="I129" i="39"/>
  <c r="I130" i="39"/>
  <c r="I131" i="39"/>
  <c r="I132" i="39"/>
  <c r="I133" i="39"/>
  <c r="I134" i="39"/>
  <c r="I135" i="39"/>
  <c r="I136" i="39"/>
  <c r="I137" i="39"/>
  <c r="I138" i="39"/>
  <c r="I139" i="39"/>
  <c r="I140" i="39"/>
  <c r="I141" i="39"/>
  <c r="I142" i="39"/>
  <c r="I143" i="39"/>
  <c r="I144" i="39"/>
  <c r="I145" i="39"/>
  <c r="I146" i="39"/>
  <c r="I147" i="39"/>
  <c r="I148" i="39"/>
  <c r="I149" i="39"/>
  <c r="I150" i="39"/>
  <c r="I151" i="39"/>
  <c r="I152" i="39"/>
  <c r="I153" i="39"/>
  <c r="I154" i="39"/>
  <c r="I155" i="39"/>
  <c r="I156" i="39"/>
  <c r="I157" i="39"/>
  <c r="I158" i="39"/>
  <c r="I159" i="39"/>
  <c r="I160" i="39"/>
  <c r="I161" i="39"/>
  <c r="I162" i="39"/>
  <c r="I163" i="39"/>
  <c r="I164" i="39"/>
  <c r="I165" i="39"/>
  <c r="I166" i="39"/>
  <c r="I167" i="39"/>
  <c r="I168" i="39"/>
  <c r="I169" i="39"/>
  <c r="I170" i="39"/>
  <c r="I171" i="39"/>
  <c r="I172" i="39"/>
  <c r="I173" i="39"/>
  <c r="I174" i="39"/>
  <c r="I175" i="39"/>
  <c r="I176" i="39"/>
  <c r="I177" i="39"/>
  <c r="I178" i="39"/>
  <c r="I179" i="39"/>
  <c r="I180" i="39"/>
  <c r="I181" i="39"/>
  <c r="I182" i="39"/>
  <c r="I183" i="39"/>
  <c r="I184" i="39"/>
  <c r="I185" i="39"/>
  <c r="I186" i="39"/>
  <c r="I187" i="39"/>
  <c r="I188" i="39"/>
  <c r="I189" i="39"/>
  <c r="I190" i="39"/>
  <c r="I191" i="39"/>
  <c r="I192" i="39"/>
  <c r="I193" i="39"/>
  <c r="I194" i="39"/>
  <c r="I195" i="39"/>
  <c r="I196" i="39"/>
  <c r="I197" i="39"/>
  <c r="I198" i="39"/>
  <c r="I199" i="39"/>
  <c r="I200" i="39"/>
  <c r="I201" i="39"/>
  <c r="I202" i="39"/>
  <c r="I203" i="39"/>
  <c r="I204" i="39"/>
  <c r="I205" i="39"/>
  <c r="I206" i="39"/>
  <c r="I207" i="39"/>
  <c r="I208" i="39"/>
  <c r="I209" i="39"/>
  <c r="I210" i="39"/>
  <c r="I211" i="39"/>
  <c r="I212" i="39"/>
  <c r="I213" i="39"/>
  <c r="I214" i="39"/>
  <c r="I215" i="39"/>
  <c r="I216" i="39"/>
  <c r="I217" i="39"/>
  <c r="I218" i="39"/>
  <c r="I219" i="39"/>
  <c r="I220" i="39"/>
  <c r="I221" i="39"/>
  <c r="I222" i="39"/>
  <c r="I223" i="39"/>
  <c r="I224" i="39"/>
  <c r="I225" i="39"/>
  <c r="I226" i="39"/>
  <c r="I227" i="39"/>
  <c r="I228" i="39"/>
  <c r="I229" i="39"/>
  <c r="I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24" i="39"/>
  <c r="H25" i="39"/>
  <c r="H26" i="39"/>
  <c r="H27" i="39"/>
  <c r="H28" i="39"/>
  <c r="H29" i="39"/>
  <c r="H30" i="39"/>
  <c r="H31" i="39"/>
  <c r="H32" i="39"/>
  <c r="H33" i="39"/>
  <c r="H34" i="39"/>
  <c r="H35" i="39"/>
  <c r="H36" i="39"/>
  <c r="H37" i="39"/>
  <c r="H38" i="39"/>
  <c r="H39" i="39"/>
  <c r="H40" i="39"/>
  <c r="H41" i="39"/>
  <c r="H42" i="39"/>
  <c r="H43" i="39"/>
  <c r="H44" i="39"/>
  <c r="H45" i="39"/>
  <c r="H46" i="39"/>
  <c r="H47" i="39"/>
  <c r="H48" i="39"/>
  <c r="H49" i="39"/>
  <c r="H50" i="39"/>
  <c r="H51" i="39"/>
  <c r="H52" i="39"/>
  <c r="H53" i="39"/>
  <c r="H54" i="39"/>
  <c r="H55" i="39"/>
  <c r="H56" i="39"/>
  <c r="H57" i="39"/>
  <c r="H58" i="39"/>
  <c r="H59" i="39"/>
  <c r="H60" i="39"/>
  <c r="H61" i="39"/>
  <c r="H62" i="39"/>
  <c r="H63" i="39"/>
  <c r="H64" i="39"/>
  <c r="H65" i="39"/>
  <c r="H66" i="39"/>
  <c r="H67" i="39"/>
  <c r="H68" i="39"/>
  <c r="H69" i="39"/>
  <c r="H70" i="39"/>
  <c r="H71" i="39"/>
  <c r="H72" i="39"/>
  <c r="H73" i="39"/>
  <c r="H74" i="39"/>
  <c r="H75" i="39"/>
  <c r="H76" i="39"/>
  <c r="H77" i="39"/>
  <c r="H78" i="39"/>
  <c r="H79" i="39"/>
  <c r="H80" i="39"/>
  <c r="H81" i="39"/>
  <c r="H82" i="39"/>
  <c r="H83" i="39"/>
  <c r="H84" i="39"/>
  <c r="H85" i="39"/>
  <c r="H86" i="39"/>
  <c r="H87" i="39"/>
  <c r="H88" i="39"/>
  <c r="H89" i="39"/>
  <c r="H90" i="39"/>
  <c r="H91" i="39"/>
  <c r="H92" i="39"/>
  <c r="H93" i="39"/>
  <c r="H94" i="39"/>
  <c r="H95" i="39"/>
  <c r="H96" i="39"/>
  <c r="H97" i="39"/>
  <c r="H98" i="39"/>
  <c r="H99" i="39"/>
  <c r="H100" i="39"/>
  <c r="H101" i="39"/>
  <c r="H102" i="39"/>
  <c r="H103" i="39"/>
  <c r="H104" i="39"/>
  <c r="H105" i="39"/>
  <c r="H106" i="39"/>
  <c r="H107" i="39"/>
  <c r="H108" i="39"/>
  <c r="H109" i="39"/>
  <c r="H110" i="39"/>
  <c r="H111" i="39"/>
  <c r="H112" i="39"/>
  <c r="H113" i="39"/>
  <c r="H114" i="39"/>
  <c r="H115" i="39"/>
  <c r="H116" i="39"/>
  <c r="H117" i="39"/>
  <c r="H118" i="39"/>
  <c r="H119" i="39"/>
  <c r="H120" i="39"/>
  <c r="H121" i="39"/>
  <c r="H122" i="39"/>
  <c r="H123" i="39"/>
  <c r="H124" i="39"/>
  <c r="H125" i="39"/>
  <c r="H126" i="39"/>
  <c r="H127" i="39"/>
  <c r="H128" i="39"/>
  <c r="H129" i="39"/>
  <c r="H130" i="39"/>
  <c r="H131" i="39"/>
  <c r="H132" i="39"/>
  <c r="H133" i="39"/>
  <c r="H134" i="39"/>
  <c r="H135" i="39"/>
  <c r="H136" i="39"/>
  <c r="H137" i="39"/>
  <c r="H138" i="39"/>
  <c r="H139" i="39"/>
  <c r="H140" i="39"/>
  <c r="H141" i="39"/>
  <c r="H142" i="39"/>
  <c r="H143" i="39"/>
  <c r="H144" i="39"/>
  <c r="H145" i="39"/>
  <c r="H146" i="39"/>
  <c r="H147" i="39"/>
  <c r="H148" i="39"/>
  <c r="H149" i="39"/>
  <c r="H150" i="39"/>
  <c r="H151" i="39"/>
  <c r="H152" i="39"/>
  <c r="H153" i="39"/>
  <c r="H154" i="39"/>
  <c r="H155" i="39"/>
  <c r="H156" i="39"/>
  <c r="H157" i="39"/>
  <c r="H158" i="39"/>
  <c r="H159" i="39"/>
  <c r="H160" i="39"/>
  <c r="H161" i="39"/>
  <c r="H162" i="39"/>
  <c r="H163" i="39"/>
  <c r="H164" i="39"/>
  <c r="H165" i="39"/>
  <c r="H166" i="39"/>
  <c r="H167" i="39"/>
  <c r="H168" i="39"/>
  <c r="H169" i="39"/>
  <c r="H170" i="39"/>
  <c r="H171" i="39"/>
  <c r="H172" i="39"/>
  <c r="H173" i="39"/>
  <c r="H174" i="39"/>
  <c r="H175" i="39"/>
  <c r="H176" i="39"/>
  <c r="H177" i="39"/>
  <c r="H178" i="39"/>
  <c r="H179" i="39"/>
  <c r="H180" i="39"/>
  <c r="H181" i="39"/>
  <c r="H182" i="39"/>
  <c r="H183" i="39"/>
  <c r="H184" i="39"/>
  <c r="H185" i="39"/>
  <c r="H186" i="39"/>
  <c r="H187" i="39"/>
  <c r="H188" i="39"/>
  <c r="H189" i="39"/>
  <c r="H190" i="39"/>
  <c r="H191" i="39"/>
  <c r="H192" i="39"/>
  <c r="H193" i="39"/>
  <c r="H194" i="39"/>
  <c r="H195" i="39"/>
  <c r="H196" i="39"/>
  <c r="H197" i="39"/>
  <c r="H198" i="39"/>
  <c r="H199" i="39"/>
  <c r="H200" i="39"/>
  <c r="H201" i="39"/>
  <c r="H202" i="39"/>
  <c r="H203" i="39"/>
  <c r="H204" i="39"/>
  <c r="H205" i="39"/>
  <c r="H206" i="39"/>
  <c r="H207" i="39"/>
  <c r="H208" i="39"/>
  <c r="H209" i="39"/>
  <c r="H210" i="39"/>
  <c r="H211" i="39"/>
  <c r="H212" i="39"/>
  <c r="H213" i="39"/>
  <c r="H214" i="39"/>
  <c r="H215" i="39"/>
  <c r="H216" i="39"/>
  <c r="H217" i="39"/>
  <c r="H218" i="39"/>
  <c r="H219" i="39"/>
  <c r="H220" i="39"/>
  <c r="H221" i="39"/>
  <c r="H222" i="39"/>
  <c r="H223" i="39"/>
  <c r="H224" i="39"/>
  <c r="H225" i="39"/>
  <c r="H226" i="39"/>
  <c r="H227" i="39"/>
  <c r="H228" i="39"/>
  <c r="H229" i="39"/>
  <c r="H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53" i="39"/>
  <c r="G54" i="39"/>
  <c r="G55" i="39"/>
  <c r="G56" i="39"/>
  <c r="G57" i="39"/>
  <c r="G58" i="39"/>
  <c r="G59" i="39"/>
  <c r="G60" i="39"/>
  <c r="G61" i="39"/>
  <c r="G62" i="39"/>
  <c r="G63" i="39"/>
  <c r="G64" i="39"/>
  <c r="G65" i="39"/>
  <c r="G66" i="39"/>
  <c r="G67" i="39"/>
  <c r="G68" i="39"/>
  <c r="G69" i="39"/>
  <c r="G70" i="39"/>
  <c r="G71" i="39"/>
  <c r="G72" i="39"/>
  <c r="G73" i="39"/>
  <c r="G74" i="39"/>
  <c r="G75" i="39"/>
  <c r="G76" i="39"/>
  <c r="G77" i="39"/>
  <c r="G78" i="39"/>
  <c r="G79" i="39"/>
  <c r="G80" i="39"/>
  <c r="G81" i="39"/>
  <c r="G82" i="39"/>
  <c r="G83" i="39"/>
  <c r="G84" i="39"/>
  <c r="G85" i="39"/>
  <c r="G86" i="39"/>
  <c r="G87" i="39"/>
  <c r="G88" i="39"/>
  <c r="G89" i="39"/>
  <c r="G90" i="39"/>
  <c r="G91" i="39"/>
  <c r="G92" i="39"/>
  <c r="G93" i="39"/>
  <c r="G94" i="39"/>
  <c r="G95" i="39"/>
  <c r="G96" i="39"/>
  <c r="G97" i="39"/>
  <c r="G98" i="39"/>
  <c r="G99" i="39"/>
  <c r="G100" i="39"/>
  <c r="G101" i="39"/>
  <c r="G102" i="39"/>
  <c r="G103" i="39"/>
  <c r="G104" i="39"/>
  <c r="G105" i="39"/>
  <c r="G106" i="39"/>
  <c r="G107" i="39"/>
  <c r="G108" i="39"/>
  <c r="G109" i="39"/>
  <c r="G110" i="39"/>
  <c r="G111" i="39"/>
  <c r="G112" i="39"/>
  <c r="G113" i="39"/>
  <c r="G114" i="39"/>
  <c r="G115" i="39"/>
  <c r="G116" i="39"/>
  <c r="G117" i="39"/>
  <c r="G118" i="39"/>
  <c r="G119" i="39"/>
  <c r="G120" i="39"/>
  <c r="G121" i="39"/>
  <c r="G122" i="39"/>
  <c r="G123" i="39"/>
  <c r="G124" i="39"/>
  <c r="G125" i="39"/>
  <c r="G126" i="39"/>
  <c r="G127" i="39"/>
  <c r="G128" i="39"/>
  <c r="G129" i="39"/>
  <c r="G130" i="39"/>
  <c r="G131" i="39"/>
  <c r="G132" i="39"/>
  <c r="G133" i="39"/>
  <c r="G134" i="39"/>
  <c r="G135" i="39"/>
  <c r="G136" i="39"/>
  <c r="G137" i="39"/>
  <c r="G138" i="39"/>
  <c r="G139" i="39"/>
  <c r="G140" i="39"/>
  <c r="G141" i="39"/>
  <c r="G142" i="39"/>
  <c r="G143" i="39"/>
  <c r="G144" i="39"/>
  <c r="G145" i="39"/>
  <c r="G146" i="39"/>
  <c r="G147" i="39"/>
  <c r="G148" i="39"/>
  <c r="G149" i="39"/>
  <c r="G150" i="39"/>
  <c r="G151" i="39"/>
  <c r="G152" i="39"/>
  <c r="G153" i="39"/>
  <c r="G154" i="39"/>
  <c r="G155" i="39"/>
  <c r="G156" i="39"/>
  <c r="G157" i="39"/>
  <c r="G158" i="39"/>
  <c r="G159" i="39"/>
  <c r="G160" i="39"/>
  <c r="G161" i="39"/>
  <c r="G162" i="39"/>
  <c r="G163" i="39"/>
  <c r="G164" i="39"/>
  <c r="G165" i="39"/>
  <c r="G166" i="39"/>
  <c r="G167" i="39"/>
  <c r="G168" i="39"/>
  <c r="G169" i="39"/>
  <c r="G170" i="39"/>
  <c r="G171" i="39"/>
  <c r="G172" i="39"/>
  <c r="G173" i="39"/>
  <c r="G174" i="39"/>
  <c r="G175" i="39"/>
  <c r="G176" i="39"/>
  <c r="G177" i="39"/>
  <c r="G178" i="39"/>
  <c r="G179" i="39"/>
  <c r="G180" i="39"/>
  <c r="G181" i="39"/>
  <c r="G182" i="39"/>
  <c r="G183" i="39"/>
  <c r="G184" i="39"/>
  <c r="G185" i="39"/>
  <c r="G186" i="39"/>
  <c r="G187" i="39"/>
  <c r="G188" i="39"/>
  <c r="G189" i="39"/>
  <c r="G190" i="39"/>
  <c r="G191" i="39"/>
  <c r="G192" i="39"/>
  <c r="G193" i="39"/>
  <c r="G194" i="39"/>
  <c r="G195" i="39"/>
  <c r="G196" i="39"/>
  <c r="G197" i="39"/>
  <c r="G198" i="39"/>
  <c r="G199" i="39"/>
  <c r="G200" i="39"/>
  <c r="G201" i="39"/>
  <c r="G202" i="39"/>
  <c r="G203" i="39"/>
  <c r="G204" i="39"/>
  <c r="G205" i="39"/>
  <c r="G206" i="39"/>
  <c r="G207" i="39"/>
  <c r="G208" i="39"/>
  <c r="G209" i="39"/>
  <c r="G210" i="39"/>
  <c r="G211" i="39"/>
  <c r="G212" i="39"/>
  <c r="G213" i="39"/>
  <c r="G214" i="39"/>
  <c r="G215" i="39"/>
  <c r="G216" i="39"/>
  <c r="G217" i="39"/>
  <c r="G218" i="39"/>
  <c r="G219" i="39"/>
  <c r="G220" i="39"/>
  <c r="G221" i="39"/>
  <c r="G222" i="39"/>
  <c r="G223" i="39"/>
  <c r="G224" i="39"/>
  <c r="G225" i="39"/>
  <c r="G226" i="39"/>
  <c r="G227" i="39"/>
  <c r="G228" i="39"/>
  <c r="G229" i="39"/>
  <c r="G7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49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7" i="39"/>
  <c r="F68" i="39"/>
  <c r="F69" i="39"/>
  <c r="F70" i="39"/>
  <c r="F71" i="39"/>
  <c r="F72" i="39"/>
  <c r="F73" i="39"/>
  <c r="F74" i="39"/>
  <c r="F75" i="39"/>
  <c r="F76" i="39"/>
  <c r="F77" i="39"/>
  <c r="F78" i="39"/>
  <c r="F79" i="39"/>
  <c r="F80" i="39"/>
  <c r="F81" i="39"/>
  <c r="F82" i="39"/>
  <c r="F83" i="39"/>
  <c r="F84" i="39"/>
  <c r="F85" i="39"/>
  <c r="F86" i="39"/>
  <c r="F87" i="39"/>
  <c r="F88" i="39"/>
  <c r="F89" i="39"/>
  <c r="F90" i="39"/>
  <c r="F91" i="39"/>
  <c r="F92" i="39"/>
  <c r="F93" i="39"/>
  <c r="F94" i="39"/>
  <c r="F95" i="39"/>
  <c r="F96" i="39"/>
  <c r="F97" i="39"/>
  <c r="F98" i="39"/>
  <c r="F99" i="39"/>
  <c r="F100" i="39"/>
  <c r="F101" i="39"/>
  <c r="F102" i="39"/>
  <c r="F103" i="39"/>
  <c r="F104" i="39"/>
  <c r="F105" i="39"/>
  <c r="F106" i="39"/>
  <c r="F107" i="39"/>
  <c r="F108" i="39"/>
  <c r="F109" i="39"/>
  <c r="F110" i="39"/>
  <c r="F111" i="39"/>
  <c r="F112" i="39"/>
  <c r="F113" i="39"/>
  <c r="F114" i="39"/>
  <c r="F115" i="39"/>
  <c r="F116" i="39"/>
  <c r="F117" i="39"/>
  <c r="F118" i="39"/>
  <c r="F119" i="39"/>
  <c r="F120" i="39"/>
  <c r="F121" i="39"/>
  <c r="F122" i="39"/>
  <c r="F123" i="39"/>
  <c r="F124" i="39"/>
  <c r="F125" i="39"/>
  <c r="F126" i="39"/>
  <c r="F127" i="39"/>
  <c r="F128" i="39"/>
  <c r="F129" i="39"/>
  <c r="F130" i="39"/>
  <c r="F131" i="39"/>
  <c r="F132" i="39"/>
  <c r="F133" i="39"/>
  <c r="F134" i="39"/>
  <c r="F135" i="39"/>
  <c r="F136" i="39"/>
  <c r="F137" i="39"/>
  <c r="F138" i="39"/>
  <c r="F139" i="39"/>
  <c r="F140" i="39"/>
  <c r="F141" i="39"/>
  <c r="F142" i="39"/>
  <c r="F143" i="39"/>
  <c r="F144" i="39"/>
  <c r="F145" i="39"/>
  <c r="F146" i="39"/>
  <c r="F147" i="39"/>
  <c r="F148" i="39"/>
  <c r="F149" i="39"/>
  <c r="F150" i="39"/>
  <c r="F151" i="39"/>
  <c r="F152" i="39"/>
  <c r="F153" i="39"/>
  <c r="F154" i="39"/>
  <c r="F155" i="39"/>
  <c r="F156" i="39"/>
  <c r="F157" i="39"/>
  <c r="F158" i="39"/>
  <c r="F159" i="39"/>
  <c r="F160" i="39"/>
  <c r="F161" i="39"/>
  <c r="F162" i="39"/>
  <c r="F163" i="39"/>
  <c r="F164" i="39"/>
  <c r="F165" i="39"/>
  <c r="F166" i="39"/>
  <c r="F167" i="39"/>
  <c r="F168" i="39"/>
  <c r="F169" i="39"/>
  <c r="F170" i="39"/>
  <c r="F171" i="39"/>
  <c r="F172" i="39"/>
  <c r="F173" i="39"/>
  <c r="F174" i="39"/>
  <c r="F175" i="39"/>
  <c r="F176" i="39"/>
  <c r="F177" i="39"/>
  <c r="F178" i="39"/>
  <c r="F179" i="39"/>
  <c r="F180" i="39"/>
  <c r="F181" i="39"/>
  <c r="F182" i="39"/>
  <c r="F183" i="39"/>
  <c r="F184" i="39"/>
  <c r="F185" i="39"/>
  <c r="F186" i="39"/>
  <c r="F187" i="39"/>
  <c r="F188" i="39"/>
  <c r="F189" i="39"/>
  <c r="F190" i="39"/>
  <c r="F191" i="39"/>
  <c r="F192" i="39"/>
  <c r="F193" i="39"/>
  <c r="F194" i="39"/>
  <c r="F195" i="39"/>
  <c r="F196" i="39"/>
  <c r="F197" i="39"/>
  <c r="F198" i="39"/>
  <c r="F199" i="39"/>
  <c r="F200" i="39"/>
  <c r="F201" i="39"/>
  <c r="F202" i="39"/>
  <c r="F203" i="39"/>
  <c r="F204" i="39"/>
  <c r="F205" i="39"/>
  <c r="F206" i="39"/>
  <c r="F207" i="39"/>
  <c r="F208" i="39"/>
  <c r="F209" i="39"/>
  <c r="F210" i="39"/>
  <c r="F211" i="39"/>
  <c r="F212" i="39"/>
  <c r="F213" i="39"/>
  <c r="F214" i="39"/>
  <c r="F215" i="39"/>
  <c r="F216" i="39"/>
  <c r="F217" i="39"/>
  <c r="F218" i="39"/>
  <c r="F219" i="39"/>
  <c r="F220" i="39"/>
  <c r="F221" i="39"/>
  <c r="F222" i="39"/>
  <c r="F223" i="39"/>
  <c r="F224" i="39"/>
  <c r="F225" i="39"/>
  <c r="F226" i="39"/>
  <c r="F227" i="39"/>
  <c r="F228" i="39"/>
  <c r="F229" i="39"/>
  <c r="F7" i="39"/>
  <c r="U7" i="39" l="1"/>
  <c r="D32" i="65"/>
  <c r="U229" i="39"/>
  <c r="B5" i="64"/>
  <c r="E3" i="62" l="1"/>
  <c r="B24" i="60" l="1"/>
  <c r="B226" i="39" l="1"/>
  <c r="U226" i="39" l="1"/>
  <c r="U169" i="39"/>
  <c r="B169" i="39"/>
  <c r="U87" i="39" l="1"/>
  <c r="U206" i="39" l="1"/>
  <c r="R32" i="68" l="1"/>
  <c r="Q32" i="68"/>
  <c r="S32" i="67"/>
  <c r="R32" i="67"/>
  <c r="U12" i="39" l="1"/>
  <c r="U13" i="39"/>
  <c r="U18" i="39"/>
  <c r="U20" i="39"/>
  <c r="U22" i="39"/>
  <c r="U25" i="39"/>
  <c r="U26" i="39"/>
  <c r="U28" i="39"/>
  <c r="U29" i="39"/>
  <c r="U30" i="39"/>
  <c r="U31" i="39"/>
  <c r="U32" i="39"/>
  <c r="U34" i="39"/>
  <c r="U37" i="39"/>
  <c r="U38" i="39"/>
  <c r="U40" i="39"/>
  <c r="U41" i="39"/>
  <c r="U43" i="39"/>
  <c r="U48" i="39"/>
  <c r="U49" i="39"/>
  <c r="U52" i="39"/>
  <c r="U53" i="39"/>
  <c r="U54" i="39"/>
  <c r="U55" i="39"/>
  <c r="U56" i="39"/>
  <c r="U58" i="39"/>
  <c r="U61" i="39"/>
  <c r="U63" i="39"/>
  <c r="U65" i="39"/>
  <c r="U66" i="39"/>
  <c r="U67" i="39"/>
  <c r="U68" i="39"/>
  <c r="U69" i="39"/>
  <c r="U70" i="39"/>
  <c r="U71" i="39"/>
  <c r="U72" i="39"/>
  <c r="U73" i="39"/>
  <c r="U75" i="39"/>
  <c r="U76" i="39"/>
  <c r="U77" i="39"/>
  <c r="U84" i="39"/>
  <c r="U85" i="39"/>
  <c r="U86" i="39"/>
  <c r="U89" i="39"/>
  <c r="U90" i="39"/>
  <c r="U91" i="39"/>
  <c r="U92" i="39"/>
  <c r="U93" i="39"/>
  <c r="U95" i="39"/>
  <c r="U96" i="39"/>
  <c r="U97" i="39"/>
  <c r="U98" i="39"/>
  <c r="U99" i="39"/>
  <c r="U101" i="39"/>
  <c r="U102" i="39"/>
  <c r="U103" i="39"/>
  <c r="U104" i="39"/>
  <c r="U105" i="39"/>
  <c r="U107" i="39"/>
  <c r="U108" i="39"/>
  <c r="U111" i="39"/>
  <c r="U112" i="39"/>
  <c r="U113" i="39"/>
  <c r="U114" i="39"/>
  <c r="U116" i="39"/>
  <c r="U118" i="39"/>
  <c r="U121" i="39"/>
  <c r="U124" i="39"/>
  <c r="U125" i="39"/>
  <c r="U126" i="39"/>
  <c r="U127" i="39"/>
  <c r="U128" i="39"/>
  <c r="U129" i="39"/>
  <c r="U130" i="39"/>
  <c r="U131" i="39"/>
  <c r="U133" i="39"/>
  <c r="U134" i="39"/>
  <c r="U135" i="39"/>
  <c r="U137" i="39"/>
  <c r="U138" i="39"/>
  <c r="U143" i="39"/>
  <c r="U150" i="39"/>
  <c r="U152" i="39"/>
  <c r="U155" i="39"/>
  <c r="U156" i="39"/>
  <c r="U158" i="39"/>
  <c r="U160" i="39"/>
  <c r="U161" i="39"/>
  <c r="U163" i="39"/>
  <c r="U173" i="39"/>
  <c r="U174" i="39"/>
  <c r="U181" i="39"/>
  <c r="U184" i="39"/>
  <c r="U185" i="39"/>
  <c r="U187" i="39"/>
  <c r="U188" i="39"/>
  <c r="U189" i="39"/>
  <c r="U190" i="39"/>
  <c r="U192" i="39"/>
  <c r="U193" i="39"/>
  <c r="U194" i="39"/>
  <c r="U197" i="39"/>
  <c r="U198" i="39"/>
  <c r="U199" i="39"/>
  <c r="U200" i="39"/>
  <c r="U201" i="39"/>
  <c r="U202" i="39"/>
  <c r="U203" i="39"/>
  <c r="U204" i="39"/>
  <c r="U205" i="39"/>
  <c r="U207" i="39"/>
  <c r="U209" i="39"/>
  <c r="U214" i="39"/>
  <c r="U215" i="39"/>
  <c r="U216" i="39"/>
  <c r="U221" i="39"/>
  <c r="U222" i="39"/>
  <c r="U224" i="39"/>
  <c r="U225" i="39"/>
  <c r="U228" i="39"/>
  <c r="U230" i="39"/>
  <c r="U64" i="39" l="1"/>
  <c r="U153" i="39"/>
  <c r="U159" i="39"/>
  <c r="U177" i="39" l="1"/>
  <c r="U23" i="39"/>
  <c r="U15" i="39"/>
  <c r="U14" i="39"/>
  <c r="U182" i="39"/>
  <c r="U208" i="39"/>
  <c r="U142" i="39"/>
  <c r="U100" i="39"/>
  <c r="U162" i="39"/>
  <c r="U186" i="39"/>
  <c r="U195" i="39"/>
  <c r="U8" i="39" l="1"/>
  <c r="U9" i="39"/>
  <c r="U10" i="39"/>
  <c r="U11" i="39"/>
  <c r="U16" i="39"/>
  <c r="U17" i="39"/>
  <c r="U19" i="39"/>
  <c r="U21" i="39"/>
  <c r="U24" i="39"/>
  <c r="U27" i="39"/>
  <c r="U33" i="39"/>
  <c r="U35" i="39"/>
  <c r="U36" i="39"/>
  <c r="U39" i="39"/>
  <c r="U42" i="39"/>
  <c r="U44" i="39"/>
  <c r="U45" i="39"/>
  <c r="U46" i="39"/>
  <c r="U47" i="39"/>
  <c r="U50" i="39"/>
  <c r="U51" i="39"/>
  <c r="U57" i="39"/>
  <c r="U59" i="39"/>
  <c r="U60" i="39"/>
  <c r="U62" i="39"/>
  <c r="U74" i="39"/>
  <c r="U78" i="39"/>
  <c r="U79" i="39"/>
  <c r="U80" i="39"/>
  <c r="U81" i="39"/>
  <c r="U82" i="39"/>
  <c r="U83" i="39"/>
  <c r="U88" i="39"/>
  <c r="U94" i="39"/>
  <c r="U106" i="39"/>
  <c r="U109" i="39"/>
  <c r="U110" i="39"/>
  <c r="U115" i="39"/>
  <c r="U117" i="39"/>
  <c r="U119" i="39"/>
  <c r="U120" i="39"/>
  <c r="U122" i="39"/>
  <c r="U123" i="39"/>
  <c r="U132" i="39"/>
  <c r="U136" i="39"/>
  <c r="U139" i="39"/>
  <c r="U140" i="39"/>
  <c r="U141" i="39"/>
  <c r="U144" i="39"/>
  <c r="U145" i="39"/>
  <c r="U146" i="39"/>
  <c r="U147" i="39"/>
  <c r="U148" i="39"/>
  <c r="U149" i="39"/>
  <c r="U151" i="39"/>
  <c r="U154" i="39"/>
  <c r="U157" i="39"/>
  <c r="U164" i="39"/>
  <c r="U165" i="39"/>
  <c r="U166" i="39"/>
  <c r="U167" i="39"/>
  <c r="U168" i="39"/>
  <c r="U170" i="39"/>
  <c r="U171" i="39"/>
  <c r="U172" i="39"/>
  <c r="U175" i="39"/>
  <c r="U176" i="39"/>
  <c r="U178" i="39"/>
  <c r="U179" i="39"/>
  <c r="U180" i="39"/>
  <c r="U183" i="39"/>
  <c r="U191" i="39"/>
  <c r="U196" i="39"/>
  <c r="U210" i="39"/>
  <c r="U211" i="39"/>
  <c r="U212" i="39"/>
  <c r="U213" i="39"/>
  <c r="U217" i="39"/>
  <c r="U218" i="39"/>
  <c r="U219" i="39"/>
  <c r="U220" i="39"/>
  <c r="U223" i="39"/>
  <c r="U227" i="39"/>
  <c r="C53" i="65" l="1"/>
  <c r="B53" i="65"/>
  <c r="C32" i="65"/>
  <c r="B32" i="65"/>
  <c r="C74" i="65"/>
  <c r="M53" i="62"/>
  <c r="F53" i="62"/>
  <c r="M33" i="62"/>
  <c r="F33" i="62"/>
  <c r="L52" i="62"/>
  <c r="L51" i="62"/>
  <c r="L50" i="62"/>
  <c r="L49" i="62"/>
  <c r="L48" i="62"/>
  <c r="L47" i="62"/>
  <c r="L46" i="62"/>
  <c r="L45" i="62"/>
  <c r="L44" i="62"/>
  <c r="L43" i="62"/>
  <c r="E52" i="62"/>
  <c r="E51" i="62"/>
  <c r="E50" i="62"/>
  <c r="E49" i="62"/>
  <c r="E48" i="62"/>
  <c r="E47" i="62"/>
  <c r="E46" i="62"/>
  <c r="E45" i="62"/>
  <c r="E44" i="62"/>
  <c r="E43" i="62"/>
  <c r="L32" i="62"/>
  <c r="L31" i="62"/>
  <c r="L30" i="62"/>
  <c r="L29" i="62"/>
  <c r="L28" i="62"/>
  <c r="L27" i="62"/>
  <c r="L26" i="62"/>
  <c r="L25" i="62"/>
  <c r="L24" i="62"/>
  <c r="L23" i="62"/>
  <c r="E32" i="62"/>
  <c r="E31" i="62"/>
  <c r="E30" i="62"/>
  <c r="E29" i="62"/>
  <c r="E28" i="62"/>
  <c r="E27" i="62"/>
  <c r="E26" i="62"/>
  <c r="E25" i="62"/>
  <c r="E24" i="62"/>
  <c r="D36" i="64"/>
  <c r="B4" i="64"/>
  <c r="G70" i="63"/>
  <c r="G58" i="63"/>
  <c r="G33" i="63"/>
  <c r="C5" i="63"/>
  <c r="C4" i="63"/>
  <c r="C104" i="60"/>
  <c r="C57" i="60"/>
  <c r="E2" i="62"/>
  <c r="C6" i="60"/>
  <c r="C55" i="60" s="1"/>
  <c r="C102" i="60" s="1"/>
  <c r="C5" i="60"/>
  <c r="C105" i="60"/>
  <c r="C96" i="60"/>
  <c r="F110" i="60" s="1"/>
  <c r="D64" i="60"/>
  <c r="D69" i="60" s="1"/>
  <c r="D35" i="60"/>
  <c r="C35" i="60"/>
  <c r="B35" i="60"/>
  <c r="A35" i="60"/>
  <c r="C42" i="60" l="1"/>
  <c r="F32" i="65"/>
  <c r="D77" i="60"/>
  <c r="F121" i="60"/>
  <c r="C103" i="60"/>
  <c r="C56" i="60"/>
  <c r="E53" i="62"/>
  <c r="I135" i="60"/>
  <c r="C58" i="60"/>
  <c r="E33" i="62"/>
  <c r="L33" i="62"/>
  <c r="L53" i="62"/>
  <c r="G73" i="63"/>
  <c r="G138" i="63" s="1"/>
  <c r="L55" i="62" l="1"/>
  <c r="E87" i="60"/>
  <c r="I140" i="60"/>
  <c r="D82" i="60"/>
  <c r="D116" i="60" s="1"/>
  <c r="D39" i="64"/>
  <c r="D45" i="64" s="1"/>
  <c r="D127" i="60" l="1"/>
  <c r="I143" i="60" s="1"/>
  <c r="D21" i="65" l="1"/>
  <c r="E53" i="65" l="1"/>
  <c r="F53" i="6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Yassert A. Gonzalez</author>
  </authors>
  <commentList>
    <comment ref="J7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Survey data was reported in the 2010 PSAR.</t>
        </r>
      </text>
    </comment>
    <comment ref="K7" authorId="0" shapeId="0" xr:uid="{00000000-0006-0000-0500-00000200000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Survey data was reported in the 2010 PSAR.</t>
        </r>
      </text>
    </comment>
    <comment ref="O7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Survey data was reported in the 2010 PSAR.</t>
        </r>
      </text>
    </comment>
    <comment ref="P7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value was recalculated to reflect survey SEASPROP reported in 2010 PSAR.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Yassert A. Gonzalez</author>
  </authors>
  <commentList>
    <comment ref="H13" authorId="0" shapeId="0" xr:uid="{C57B5686-64CF-479B-8978-C0B9C720538D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Survey data was reported in the 2010 PSAR.</t>
        </r>
      </text>
    </comment>
    <comment ref="I13" authorId="0" shapeId="0" xr:uid="{06D78E98-BD6F-4B56-B67E-A97105288911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Survey data was reported in the 2010 PSAR.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Yassert A. Gonzalez</author>
  </authors>
  <commentList>
    <comment ref="M71" authorId="0" shapeId="0" xr:uid="{72354D92-229B-4FCA-AAC2-D09A9A92B17E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totals include all Marion County Utilities' WUPs consolidated into 6151.</t>
        </r>
      </text>
    </comment>
    <comment ref="N71" authorId="0" shapeId="0" xr:uid="{F275C956-C1B5-4849-9477-3E7B095B05BD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totals include all Marion County Utilities' WUPs consolidated into 6151.</t>
        </r>
      </text>
    </comment>
    <comment ref="O71" authorId="0" shapeId="0" xr:uid="{182C9617-3FB2-4E05-8B45-5C08C83B51A4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totals include all Marion County Utilities' WUPs consolidated into 6151.</t>
        </r>
      </text>
    </comment>
    <comment ref="P71" authorId="0" shapeId="0" xr:uid="{57C9886F-FF2A-4879-9159-296FB765419F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totals include all Marion County Utilities' WUPs consolidated into 6151.</t>
        </r>
      </text>
    </comment>
    <comment ref="Q71" authorId="0" shapeId="0" xr:uid="{FFBD9F64-AABF-4819-8A0B-C8AFADDCAB7D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totals include all Marion County Utilities' WUPs consolidated into 6151.</t>
        </r>
      </text>
    </comment>
    <comment ref="M76" authorId="0" shapeId="0" xr:uid="{49559B0E-31E8-4B17-A0A7-68ECC8705484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 includes Rainbow Springs and Juliette Falls.</t>
        </r>
      </text>
    </comment>
    <comment ref="N76" authorId="0" shapeId="0" xr:uid="{7C559596-FBE9-43AE-A4A3-29F0513334C8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 includes Rainbow Springs and Juliette Falls.</t>
        </r>
      </text>
    </comment>
    <comment ref="O76" authorId="0" shapeId="0" xr:uid="{54A03797-A25E-469F-B93D-E856884A6BF7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 includes Rainbow Springs and Juliette Falls.</t>
        </r>
      </text>
    </comment>
    <comment ref="P76" authorId="0" shapeId="0" xr:uid="{0EC89028-1440-416E-A51D-1949651C8D56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 includes Rainbow Springs and Juliette Falls.</t>
        </r>
      </text>
    </comment>
    <comment ref="Q76" authorId="0" shapeId="0" xr:uid="{C4EC707B-EB61-4938-A0D2-C4AC86274945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 includes Rainbow Springs and Juliette Falls.</t>
        </r>
      </text>
    </comment>
    <comment ref="M114" authorId="0" shapeId="0" xr:uid="{A23E7AE9-54AB-4303-9629-71C5D6E2A849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N114" authorId="0" shapeId="0" xr:uid="{EECD9542-E7CA-43E5-A4C1-0939874180A5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O114" authorId="0" shapeId="0" xr:uid="{519BE1A2-7AE5-43C2-8A80-90D6F6A1B45B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P114" authorId="0" shapeId="0" xr:uid="{8632CC56-9D35-4E4A-9EB1-D04CE42BCFC7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Q114" authorId="0" shapeId="0" xr:uid="{A1B22606-30F3-4108-83B4-0536046D9EFB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Yassert A. Gonzalez</author>
    <author>Ryan J. Pearson</author>
  </authors>
  <commentList>
    <comment ref="M5" authorId="0" shapeId="0" xr:uid="{9AC73823-F9AB-47AA-99DA-57EBD2F1D499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Data reflects net commuter estimates calculated using Gasparilla Island Bridge Authority Survey.</t>
        </r>
      </text>
    </comment>
    <comment ref="N5" authorId="0" shapeId="0" xr:uid="{F72DB248-5298-42B8-A489-3D3ED2365B02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Data reflects net commuter estimates calculated using Gasparilla Island Bridge Authority Survey.</t>
        </r>
      </text>
    </comment>
    <comment ref="O5" authorId="0" shapeId="0" xr:uid="{CA562A8B-C7BD-48C0-A24B-35EB2311A1E5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Data reflects net commuter estimates calculated using Gasparilla Island Bridge Authority Survey.</t>
        </r>
      </text>
    </comment>
    <comment ref="P5" authorId="0" shapeId="0" xr:uid="{C063ECCF-00AB-43F0-B270-E5D3386EFA8D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Data reflects net commuter estimates calculated using Gasparilla Island Bridge Authority Survey.</t>
        </r>
      </text>
    </comment>
    <comment ref="Q32" authorId="1" shapeId="0" xr:uid="{9FBE9EE3-1457-49C4-9118-E8A2A04F375F}">
      <text>
        <r>
          <rPr>
            <b/>
            <sz val="9"/>
            <color indexed="81"/>
            <rFont val="Tahoma"/>
            <family val="2"/>
          </rPr>
          <t>Ryan J. Pearson:</t>
        </r>
        <r>
          <rPr>
            <sz val="9"/>
            <color indexed="81"/>
            <rFont val="Tahoma"/>
            <family val="2"/>
          </rPr>
          <t xml:space="preserve">
Added population from WUPs 2179, 2983, 12011 for consistency</t>
        </r>
      </text>
    </comment>
    <comment ref="R32" authorId="1" shapeId="0" xr:uid="{4FF6F028-2C17-4007-8217-DEDF47A53321}">
      <text>
        <r>
          <rPr>
            <b/>
            <sz val="9"/>
            <color indexed="81"/>
            <rFont val="Tahoma"/>
            <family val="2"/>
          </rPr>
          <t>Ryan J. Pearson:</t>
        </r>
        <r>
          <rPr>
            <sz val="9"/>
            <color indexed="81"/>
            <rFont val="Tahoma"/>
            <family val="2"/>
          </rPr>
          <t xml:space="preserve">
Added population from WUPs 2179, 2983, 12011 for consistency</t>
        </r>
      </text>
    </comment>
    <comment ref="S32" authorId="1" shapeId="0" xr:uid="{74A99922-84F7-4780-855D-9BB8FA990CC1}">
      <text>
        <r>
          <rPr>
            <b/>
            <sz val="9"/>
            <color indexed="81"/>
            <rFont val="Tahoma"/>
            <family val="2"/>
          </rPr>
          <t>Ryan J. Pearson:</t>
        </r>
        <r>
          <rPr>
            <sz val="9"/>
            <color indexed="81"/>
            <rFont val="Tahoma"/>
            <family val="2"/>
          </rPr>
          <t xml:space="preserve">
Consolidation of permits 2179, 2983, 12011</t>
        </r>
      </text>
    </comment>
    <comment ref="F64" authorId="0" shapeId="0" xr:uid="{D622F64C-C6D2-466B-8772-1D6BDB95B17A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G64" authorId="0" shapeId="0" xr:uid="{F4D715FB-50DE-4E60-8F63-AC8F069FE1B2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H64" authorId="0" shapeId="0" xr:uid="{C7F56988-4AEB-432A-A06A-35F57CB553E4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I64" authorId="0" shapeId="0" xr:uid="{A478BE79-A59C-465E-8A1A-469579046A7D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J64" authorId="0" shapeId="0" xr:uid="{3F96D3AF-3B5B-4B6C-B768-FA2F265A485F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K64" authorId="0" shapeId="0" xr:uid="{45B48CE5-FD0F-470A-B234-E465717365A9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L64" authorId="0" shapeId="0" xr:uid="{4514FED6-0BEE-4ABC-A036-C7F017CCB7E7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M64" authorId="0" shapeId="0" xr:uid="{85CD6704-4230-4B52-BF28-3C265803ADBF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N64" authorId="0" shapeId="0" xr:uid="{F2A3D7C7-7B7E-4961-AD54-9FA18A10EFC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O64" authorId="0" shapeId="0" xr:uid="{13879C26-5B13-4DC6-B0DF-B9A5ED41B3B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P64" authorId="0" shapeId="0" xr:uid="{7382D2B1-FB11-45EE-BF73-039691A0ACD3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F75" authorId="0" shapeId="0" xr:uid="{170C7237-DC21-4CE2-AAC8-C99728B01CF6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G75" authorId="0" shapeId="0" xr:uid="{5D620956-1423-4EF9-903F-FE022E40B743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H75" authorId="0" shapeId="0" xr:uid="{BF1F280E-4D26-4151-95FF-4435474AB962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I75" authorId="0" shapeId="0" xr:uid="{7BBA6A61-8408-40A4-8129-420545CE9262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J75" authorId="0" shapeId="0" xr:uid="{5865B0B9-4361-4A77-97E8-644A5DD7235E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K75" authorId="0" shapeId="0" xr:uid="{DD32F9A9-406B-4EAB-B9B8-998D44892356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L75" authorId="0" shapeId="0" xr:uid="{64DC76B7-41AC-439C-9E41-271C2D72E25A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M75" authorId="0" shapeId="0" xr:uid="{525DD8C2-B681-481B-A2C8-1658ABDE2F3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N75" authorId="0" shapeId="0" xr:uid="{11A16FD1-19CB-43BF-BE55-C7BE4DD70C1B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O75" authorId="0" shapeId="0" xr:uid="{9B64967D-8084-4360-A066-ADAC878148CE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P75" authorId="0" shapeId="0" xr:uid="{4160C82A-BA21-41EC-B208-8C3D57916D9F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G80" authorId="0" shapeId="0" xr:uid="{5D0DC5BE-FFDA-4757-B6BC-F5E0C90D0E18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H80" authorId="0" shapeId="0" xr:uid="{D4393910-9997-49F5-8ACE-F37AA9C0DEE3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I80" authorId="0" shapeId="0" xr:uid="{31A114FA-54FB-4812-BCBF-2A04B0FD00C7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J80" authorId="0" shapeId="0" xr:uid="{8C242C80-CE1F-4325-83BC-48ADB66BE7C7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K80" authorId="0" shapeId="0" xr:uid="{4DD1A7C9-0F47-4109-858F-67A99EDEBE87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L80" authorId="0" shapeId="0" xr:uid="{8747205A-5743-4724-BC06-40B9A76305F6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M80" authorId="0" shapeId="0" xr:uid="{5358ED70-08E1-485D-AB23-92CE7FB1C9D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N80" authorId="0" shapeId="0" xr:uid="{92CAE689-1F16-48F8-BB7A-14E06CDDE2C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O80" authorId="0" shapeId="0" xr:uid="{A29FD812-D22D-40DC-9990-695A8F9AA88F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P80" authorId="0" shapeId="0" xr:uid="{4C86A341-8079-4D08-90CE-9D9036FD1429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L118" authorId="0" shapeId="0" xr:uid="{7FFCBB50-94D4-4BCF-84AC-91E97B3BB8FF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M118" authorId="0" shapeId="0" xr:uid="{43677AC8-A3B5-4BB4-857D-8A31A5045C05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N118" authorId="0" shapeId="0" xr:uid="{E60FFA1B-BA05-4BFA-9B7A-2F5B7C17958E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O118" authorId="0" shapeId="0" xr:uid="{AECEA4C6-E406-4EBD-ACC1-E5A06E4CF096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P118" authorId="0" shapeId="0" xr:uid="{2694C45E-DC64-42D3-A3EA-523A50F9A88D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tc={6C02429B-EA99-41F7-95BC-84E9703F0D7B}</author>
  </authors>
  <commentList>
    <comment ref="D43" authorId="0" shapeId="0" xr:uid="{6C02429B-EA99-41F7-95BC-84E9703F0D7B}">
      <text>
        <t>[Threaded comment]
Your version of Excel allows you to read this threaded comment; however, any edits to it will get removed if the file is opened in a newer version of Excel. Learn more: https://go.microsoft.com/fwlink/?linkid=870924
Comment:
    Ownership of Holiday Hotel changed.  Hotel is still open override from 1 room to 142 rooms</t>
      </text>
    </comment>
  </commentList>
</comments>
</file>

<file path=xl/sharedStrings.xml><?xml version="1.0" encoding="utf-8"?>
<sst xmlns="http://schemas.openxmlformats.org/spreadsheetml/2006/main" count="3836" uniqueCount="953">
  <si>
    <t>PASCO COUNTY UTILITIES</t>
  </si>
  <si>
    <t>HOLIDAY GARDENS UTILITIES, INC.</t>
  </si>
  <si>
    <t>ORANGEWOOD LAKES MOBILE HOME</t>
  </si>
  <si>
    <t>CITY OF NEW PORT RICHEY</t>
  </si>
  <si>
    <t>ENGLEWOOD WATER DISTRICT</t>
  </si>
  <si>
    <t>PARRISH PROPERTIES V LLC</t>
  </si>
  <si>
    <t>RIVERWOOD DEVELOPMENT</t>
  </si>
  <si>
    <t>GULF HIGHWAY LAND CORP.</t>
  </si>
  <si>
    <t>WINDEMERE UTILITY COMPANY</t>
  </si>
  <si>
    <t>CITY OF ST. PETERSBURG</t>
  </si>
  <si>
    <t>COUNTY</t>
  </si>
  <si>
    <t>MARION UTILITIES INC.</t>
  </si>
  <si>
    <t>CHARLOTTE HARBOR WATER ASSOC.</t>
  </si>
  <si>
    <t>HOMOSASSA SPECIAL WATER DISTRICT</t>
  </si>
  <si>
    <t>CITY OF ARCADIA</t>
  </si>
  <si>
    <t>DESOTO</t>
  </si>
  <si>
    <t>TOWN OF ZOLFO SPRINGS</t>
  </si>
  <si>
    <t>LP UTILITIES INC.</t>
  </si>
  <si>
    <t>C W UTILITY SYSTEMS LLC</t>
  </si>
  <si>
    <t>MANATEE</t>
  </si>
  <si>
    <t>PASCO</t>
  </si>
  <si>
    <t>PINELLAS</t>
  </si>
  <si>
    <t>POLK</t>
  </si>
  <si>
    <t>SUMTER</t>
  </si>
  <si>
    <t>CITRUS</t>
  </si>
  <si>
    <t>CITY OF INVERNESS</t>
  </si>
  <si>
    <t>HERNANDO</t>
  </si>
  <si>
    <t>HIGHLANDS</t>
  </si>
  <si>
    <t>LEVY</t>
  </si>
  <si>
    <t>MARION</t>
  </si>
  <si>
    <t>CITY OF GULFPORT</t>
  </si>
  <si>
    <t>CITY OF OLDSMAR</t>
  </si>
  <si>
    <t>CITY OF PINELLAS PARK</t>
  </si>
  <si>
    <t>SARASOTA</t>
  </si>
  <si>
    <t>MOUNTAIN LAKE CORPORATION</t>
  </si>
  <si>
    <t>CITY OF POLK CITY</t>
  </si>
  <si>
    <t>Year</t>
  </si>
  <si>
    <t>ALLIED UTILITIES,  INC.</t>
  </si>
  <si>
    <t>HILLSBOROUGH</t>
  </si>
  <si>
    <t>ARBOR OAKS (MINK ASSOC.)</t>
  </si>
  <si>
    <t>BREENBRIAR ONE OF CITRUS HILLS OWNERS ASSOCIATION INC</t>
  </si>
  <si>
    <t>BUTTONWOOD BAY UTILITIES</t>
  </si>
  <si>
    <t>C.S. WATER CO. INC.</t>
  </si>
  <si>
    <t>CAMELOT COMMUNITIES MHP LLC</t>
  </si>
  <si>
    <t>CAREFREE RV COUNTRY CLUB</t>
  </si>
  <si>
    <t>CAV. HOMEOWNERS COOPERATIVE, INC.</t>
  </si>
  <si>
    <t>CEDAR ACRES INC.</t>
  </si>
  <si>
    <t>CENTURY-FAIRFIELD VILLAGE LTD</t>
  </si>
  <si>
    <t>CHARLES SPRINGER</t>
  </si>
  <si>
    <t>CHARLOTTE COUNTY UTILITIES</t>
  </si>
  <si>
    <t>CHARLOTTE</t>
  </si>
  <si>
    <t>CHCVII  LAKE HENRY MHP</t>
  </si>
  <si>
    <t>CITRUS COUNTY UTILITIES</t>
  </si>
  <si>
    <t>CITY OF AUBURNDALE</t>
  </si>
  <si>
    <t>CITY OF AVON PARK</t>
  </si>
  <si>
    <t>CITY OF BARTOW</t>
  </si>
  <si>
    <t>CITY OF BOWLING GREEN MUNICIPAL</t>
  </si>
  <si>
    <t>HARDEE</t>
  </si>
  <si>
    <t>CITY OF BRADENTON PUBLIC WORKS</t>
  </si>
  <si>
    <t>CITY OF BROOKSVILLE</t>
  </si>
  <si>
    <t>CITY OF BUSHNELL</t>
  </si>
  <si>
    <t>CITY OF CENTER HILL</t>
  </si>
  <si>
    <t>CITY OF CLEARWATER-WATER DIV</t>
  </si>
  <si>
    <t>CITY OF COLEMAN</t>
  </si>
  <si>
    <t>CITY OF CRYSTAL RIVER</t>
  </si>
  <si>
    <t>CITY OF DADE CITY</t>
  </si>
  <si>
    <t>CITY OF DAVENPORT</t>
  </si>
  <si>
    <t>CITY OF DUNEDIN</t>
  </si>
  <si>
    <t>CITY OF DUNNELLON</t>
  </si>
  <si>
    <t>CITY OF EAGLE LAKE</t>
  </si>
  <si>
    <t>CITY OF FORT MEADE</t>
  </si>
  <si>
    <t>CITY OF FROSTPROOF</t>
  </si>
  <si>
    <t>CITY OF HAINES CITY</t>
  </si>
  <si>
    <t>CITY OF LAKE ALFRED</t>
  </si>
  <si>
    <t>CITY OF LAKE WALES</t>
  </si>
  <si>
    <t>CITY OF LAKELAND ELECTRIC AND WATER</t>
  </si>
  <si>
    <t>CITY OF MULBERRY</t>
  </si>
  <si>
    <t>CITY OF NORTH PORT</t>
  </si>
  <si>
    <t>CITY OF PALMETTO PUBLIC WORKS</t>
  </si>
  <si>
    <t>CITY OF PLANT CITY UTILITIES</t>
  </si>
  <si>
    <t>CITY OF PORT RICHEY</t>
  </si>
  <si>
    <t>CITY OF PUNTA GORDA UTILITY DEPT</t>
  </si>
  <si>
    <t>CITY OF SAFETY HARBOR</t>
  </si>
  <si>
    <t>CITY OF SAN ANTONIO</t>
  </si>
  <si>
    <t>CITY OF SARASOTA</t>
  </si>
  <si>
    <t>CITY OF SEBRING</t>
  </si>
  <si>
    <t>CITY OF TAMPA WATER DEPT</t>
  </si>
  <si>
    <t>CITY OF TARPON SPRINGS</t>
  </si>
  <si>
    <t>CITY OF TEMPLE TERRACE</t>
  </si>
  <si>
    <t>CITY OF VENICE</t>
  </si>
  <si>
    <t>CITY OF WAUCHULA</t>
  </si>
  <si>
    <t>CITY OF WEBSTER</t>
  </si>
  <si>
    <t>CITY OF WILDWOOD</t>
  </si>
  <si>
    <t>CITY OF WILLISTON</t>
  </si>
  <si>
    <t>CITY OF WINTER HAVEN</t>
  </si>
  <si>
    <t>CITY OF ZEPHYRHILLS</t>
  </si>
  <si>
    <t>CONSTATE UTILITIES</t>
  </si>
  <si>
    <t>CONTINENTAL COUNTRY CLUB</t>
  </si>
  <si>
    <t>COUNTRY AIRE SERVICE CORPORATION</t>
  </si>
  <si>
    <t>COUNTRY CLUB UTILITIES</t>
  </si>
  <si>
    <t>CRESTRIDGE UTILITY CORPORATION</t>
  </si>
  <si>
    <t>DAVID L., HOLLY A., JAMES L., PATRICIA A. COOK</t>
  </si>
  <si>
    <t>DESOTO COUNTY</t>
  </si>
  <si>
    <t>EL JOBEAN WATER ASSOC.</t>
  </si>
  <si>
    <t>FLORAL CITY WATER ASSOCIATION</t>
  </si>
  <si>
    <t>FOUR LAKES MOBILE HOME PARK</t>
  </si>
  <si>
    <t>FOXWOOD MOBILE HOME PARK</t>
  </si>
  <si>
    <t>GASPARILLA ISLAND WATER ASSOC.</t>
  </si>
  <si>
    <t>GEM ESTATES</t>
  </si>
  <si>
    <t>GRENELEFE RESORT UTILITY, INC.</t>
  </si>
  <si>
    <t>HACIENDA UTILITIES LTD</t>
  </si>
  <si>
    <t>HARDEE COUNTY -  WAUCHULA SPRINGS  PWS</t>
  </si>
  <si>
    <t>HERNANDO COUNTY WATER AND SEWER</t>
  </si>
  <si>
    <t>HILLSBOROUGH COUNTY UTILITIES</t>
  </si>
  <si>
    <t>HOMEOWNERS OF ALLIGATOR PARK</t>
  </si>
  <si>
    <t>HUDSON WATER WORKS, INC.</t>
  </si>
  <si>
    <t>ISLAND HARBOR BCH CLUB LTD &amp; CHAR</t>
  </si>
  <si>
    <t>JEFFERY A. COLE</t>
  </si>
  <si>
    <t>JEROME &amp; FREDERICK ELLIS</t>
  </si>
  <si>
    <t>KEEN UTILITIES</t>
  </si>
  <si>
    <t>L.W.V. UTILITIES, INC.</t>
  </si>
  <si>
    <t>LAKE PANASOFFKEE WATER ASSOCIATION</t>
  </si>
  <si>
    <t>LAKE PLACID HOLDING CO</t>
  </si>
  <si>
    <t>LAKE REGION MOBILE HOMEOWNERS</t>
  </si>
  <si>
    <t>LITTLE MANATEE ISLE MHP</t>
  </si>
  <si>
    <t>MALCO INDUSTRIES INC.</t>
  </si>
  <si>
    <t>MARANANTHA BAPTIST CHURCH</t>
  </si>
  <si>
    <t>MARION COUNTY UTILITIES</t>
  </si>
  <si>
    <t>MARION LANDING HOMEOWNERS</t>
  </si>
  <si>
    <t>MCGIST INC.  (FRONTIER CAMPGROUD)</t>
  </si>
  <si>
    <t>MOUSE MOUNTAIN RV RESORT</t>
  </si>
  <si>
    <t>OAK AVENUE WATER SYSTEM</t>
  </si>
  <si>
    <t>OAK POND LLC, A FLORIDA LLC</t>
  </si>
  <si>
    <t>ORCHID LAKE UTILITIES</t>
  </si>
  <si>
    <t>ORCHID SPRINGS DEVELOPMENT</t>
  </si>
  <si>
    <t>PARADISE LAKES UTILITY, LLC</t>
  </si>
  <si>
    <t>PARK WATER COMPANY</t>
  </si>
  <si>
    <t>PINECREST RANCHES</t>
  </si>
  <si>
    <t>PINELLAS COUNTY UTILITIES</t>
  </si>
  <si>
    <t>PLANTATION LANDINGS MHP</t>
  </si>
  <si>
    <t>PLURIS PCU INC</t>
  </si>
  <si>
    <t>PLURIS-SOUTH GATE UTILITIES</t>
  </si>
  <si>
    <t>POLK COUNTY UTILITIES</t>
  </si>
  <si>
    <t>RIVERSIDE GOLF COURSE COMM LLC</t>
  </si>
  <si>
    <t>ROLLING OAKS UTILITIES, INC.</t>
  </si>
  <si>
    <t>ROYAL OAKS OF CITRUS HOA</t>
  </si>
  <si>
    <t>ROYALTY RESORTS CORPORATION</t>
  </si>
  <si>
    <t>S. V. UTILITIES, LTD.</t>
  </si>
  <si>
    <t>SADDLEBAG LAKE OWNERS</t>
  </si>
  <si>
    <t>SARASOTA COUNTY BOCC UTILITIES DEPARTMENT</t>
  </si>
  <si>
    <t>SATAKE VILLAGE UTILITIES</t>
  </si>
  <si>
    <t>SILVER LAKE UTILITIES, INC.</t>
  </si>
  <si>
    <t>SKYVIEW UTILITIES</t>
  </si>
  <si>
    <t>SOUTH DUNNELLON WATER ASSOCIATION</t>
  </si>
  <si>
    <t>SOUTHFORK MOBILE HOME COMM</t>
  </si>
  <si>
    <t>SPRV LTD</t>
  </si>
  <si>
    <t>SUN'N LAKE OF SEBRING</t>
  </si>
  <si>
    <t>SWEETWATER CO-OP</t>
  </si>
  <si>
    <t>SWEETWATER EAST INVESTMENT CO</t>
  </si>
  <si>
    <t>SWEETWATER OAKS LTD</t>
  </si>
  <si>
    <t>TARAWOOD OF FLORAL CITY</t>
  </si>
  <si>
    <t>TEVALO INC</t>
  </si>
  <si>
    <t>THE VILLAGES COMBINED</t>
  </si>
  <si>
    <t>THREE WORLDS LIMITED PARTNERSHIP</t>
  </si>
  <si>
    <t>TIPPECANOE VILLAGE HOMEOWNERS</t>
  </si>
  <si>
    <t>TOWN OF BELLEAIR</t>
  </si>
  <si>
    <t>TOWN OF DUNDEE</t>
  </si>
  <si>
    <t>TOWN OF INGLIS</t>
  </si>
  <si>
    <t>TOWN OF LAKE HAMILTON</t>
  </si>
  <si>
    <t>TOWN OF LAKE PLACID</t>
  </si>
  <si>
    <t>TOWN OF LONGBOAT KEY</t>
  </si>
  <si>
    <t>TOWN OF YANKEETOWN</t>
  </si>
  <si>
    <t>UNIPROP INCOME FUND II (PARADISE VILLAGE)</t>
  </si>
  <si>
    <t>VAN LAKES HOMEOWNERS ASSOCIATION</t>
  </si>
  <si>
    <t>VILLAGE OF HIGHLAND PARK</t>
  </si>
  <si>
    <t>WALDEN WOODS OF SUGARMILL INC.</t>
  </si>
  <si>
    <t>WILDER CORPORATION</t>
  </si>
  <si>
    <t>SUN COMMUNITIES - SADDLE OAK CLUB MHC</t>
  </si>
  <si>
    <t>Worksheet</t>
  </si>
  <si>
    <t>B</t>
  </si>
  <si>
    <t>G</t>
  </si>
  <si>
    <t>I</t>
  </si>
  <si>
    <t>County</t>
  </si>
  <si>
    <t>Utility Name</t>
  </si>
  <si>
    <t>CPOPNHH</t>
  </si>
  <si>
    <t>CHH</t>
  </si>
  <si>
    <t>CGRUPPOP</t>
  </si>
  <si>
    <t>CHOUSUNITS</t>
  </si>
  <si>
    <t>PERMPPH</t>
  </si>
  <si>
    <t>SEASPPH</t>
  </si>
  <si>
    <t>SEASRR</t>
  </si>
  <si>
    <t>SEASHH</t>
  </si>
  <si>
    <t>SEAS/TOTHH</t>
  </si>
  <si>
    <t>SEASPROP</t>
  </si>
  <si>
    <t>SEASADJ</t>
  </si>
  <si>
    <t>D</t>
  </si>
  <si>
    <t>E</t>
  </si>
  <si>
    <t>C=A/B</t>
  </si>
  <si>
    <t>SEASPKPOP</t>
  </si>
  <si>
    <t>PERMPOP</t>
  </si>
  <si>
    <t>FSEASPOP</t>
  </si>
  <si>
    <t>GRUPPOP</t>
  </si>
  <si>
    <t>REQPOP</t>
  </si>
  <si>
    <t>LELYNN RV RESORT</t>
  </si>
  <si>
    <t>WUP</t>
  </si>
  <si>
    <t>RESUNITS</t>
  </si>
  <si>
    <t>Worksheet B: Service Area Summary</t>
  </si>
  <si>
    <t>Page 1 of 3</t>
  </si>
  <si>
    <t>INDEX</t>
  </si>
  <si>
    <t>Permit Number(s):</t>
  </si>
  <si>
    <t>Permittee Name:</t>
  </si>
  <si>
    <t>Census Data Year:</t>
  </si>
  <si>
    <t>Year of Interest:</t>
  </si>
  <si>
    <t>Data Entry Required in Solid Bordered Cells</t>
  </si>
  <si>
    <t>Calculated Output in Dashed Bordred Cells</t>
  </si>
  <si>
    <t>Optional Survey Data Entry in Double Outlined Cells</t>
  </si>
  <si>
    <t>1. Service Area Residential Housing Account Data Required</t>
  </si>
  <si>
    <t>(From Worksheet A)</t>
  </si>
  <si>
    <t>Residential</t>
  </si>
  <si>
    <t>Account</t>
  </si>
  <si>
    <t>Housing Units</t>
  </si>
  <si>
    <t>Year of</t>
  </si>
  <si>
    <t>Interest</t>
  </si>
  <si>
    <t>2. Census Data Required for All Census Blocks in Service Area</t>
  </si>
  <si>
    <t>(From Worksheet C)</t>
  </si>
  <si>
    <t>Sum of</t>
  </si>
  <si>
    <t>Census</t>
  </si>
  <si>
    <t xml:space="preserve">Sum of </t>
  </si>
  <si>
    <t>Population</t>
  </si>
  <si>
    <t>Group</t>
  </si>
  <si>
    <t>in House-</t>
  </si>
  <si>
    <t>House-</t>
  </si>
  <si>
    <t>Quarters</t>
  </si>
  <si>
    <t>Total</t>
  </si>
  <si>
    <t>Holds</t>
  </si>
  <si>
    <t>3. Permanent Resident Persons/Household (PERMPPH) - Choose One Only</t>
  </si>
  <si>
    <t>Optional Ap-</t>
  </si>
  <si>
    <t>proved Survey</t>
  </si>
  <si>
    <t>Method</t>
  </si>
  <si>
    <t>OR</t>
  </si>
  <si>
    <t>(CPOPNHH/CHH) =</t>
  </si>
  <si>
    <t>4. Seasonal Resident Persons Per Household (SEASPPH) - Choose One Only</t>
  </si>
  <si>
    <t>Default</t>
  </si>
  <si>
    <t>Worksheet B: Service Area Summary Worksheet (Cont'd)</t>
  </si>
  <si>
    <t>Page 2 of 3</t>
  </si>
  <si>
    <t>5. Service Area Peak Seasonal Resident Ratio (SEASRR)</t>
  </si>
  <si>
    <t>(From Worksheet D Part 1)</t>
  </si>
  <si>
    <t>(not required if using survey data)</t>
  </si>
  <si>
    <t>6. Calculation of Service Area Census Year Seasonal Households (SEASHH)</t>
  </si>
  <si>
    <t>( not required if using survey data)</t>
  </si>
  <si>
    <t xml:space="preserve">((SEASRR - 1) x CPOPNHH) / SEASPPH = </t>
  </si>
  <si>
    <t xml:space="preserve">7. Calculation of Seasonal Households to Total Households Ratio (SEAS/TOTHH) </t>
  </si>
  <si>
    <t>or</t>
  </si>
  <si>
    <t xml:space="preserve">SEASHH / (CHH + SEASHH) = </t>
  </si>
  <si>
    <t>8. Calculation of Seasonal Resident Peak Population - Yr. of Interest (SEASPKPOP)</t>
  </si>
  <si>
    <t xml:space="preserve">RESUNITS x SEAS/TOTHH x SEASPPH = </t>
  </si>
  <si>
    <t>9. Calculation of Permanent Resident Population for Yr. of Interest (PERMPOP)</t>
  </si>
  <si>
    <t xml:space="preserve">(1 - SEAS/TOTHH) x RESUNITS x PERMPPH = </t>
  </si>
  <si>
    <t>10. Seasonal Proportional Residence Time (SEASPROP)</t>
  </si>
  <si>
    <t>Beach</t>
  </si>
  <si>
    <t>or Non-Beach</t>
  </si>
  <si>
    <t>or Optional</t>
  </si>
  <si>
    <t>Destination</t>
  </si>
  <si>
    <t xml:space="preserve"> Approved </t>
  </si>
  <si>
    <t>Survey</t>
  </si>
  <si>
    <t>Default=0.442</t>
  </si>
  <si>
    <t>Default=0.567</t>
  </si>
  <si>
    <t>Worksheet B: Service Area Summary (Cont'd)</t>
  </si>
  <si>
    <t>Page 3 of 3</t>
  </si>
  <si>
    <t>11. Calculation of Seasonal Resident Adjustment Factor (SEASADJ)</t>
  </si>
  <si>
    <t xml:space="preserve">((SEASPROP x 132) + ((1 - SEASPROP) x (132 - 69.3))) / 132 = </t>
  </si>
  <si>
    <t>12. Calculation of Functional Seasonal Resident Population</t>
  </si>
  <si>
    <t>for Year of Interest (FSEASPOP)</t>
  </si>
  <si>
    <t xml:space="preserve">SEASPKPOP x SEASADJ = </t>
  </si>
  <si>
    <t>13. Calculation of Group Quarters Population for Year of Interest (GRUPPOP)</t>
  </si>
  <si>
    <t>(CGRUPPOP/CHOUSUNITS) x RESUNITS</t>
  </si>
  <si>
    <t>14. Calculation of Total Required Functional Population</t>
  </si>
  <si>
    <t>for Year of Interest (REQPOP)</t>
  </si>
  <si>
    <t xml:space="preserve">PERMPOP + FSEASPOP + GRUPPOP = </t>
  </si>
  <si>
    <t>15. Optional Total Functional Tourist Population for Year of Interest (FTOURPOP)</t>
  </si>
  <si>
    <t>FTOURPOP</t>
  </si>
  <si>
    <t>Must include documentation of sources and calculations</t>
  </si>
  <si>
    <t>(From Worksheet G)</t>
  </si>
  <si>
    <t>16. Optional Functional Net Commuter Population for Year of Interest (FNETCOM)</t>
  </si>
  <si>
    <t>(From Worksheet I)</t>
  </si>
  <si>
    <t>FNETCOM</t>
  </si>
  <si>
    <t xml:space="preserve">Total Required and Optional Functional Service Area Population </t>
  </si>
  <si>
    <t>For the Year of Interest = REQPOP + FTOURPOP + FNETCOM =</t>
  </si>
  <si>
    <t>ROOMS</t>
  </si>
  <si>
    <t>Worksheet A: Residential Account Housing Unit Estimation</t>
  </si>
  <si>
    <t>Enter Only Meter Data for Residential Accounts (No Commercial)</t>
  </si>
  <si>
    <t>Do Not Include Irrigation Account Meters</t>
  </si>
  <si>
    <t>Calculated Output in Dashed Bordered Cells</t>
  </si>
  <si>
    <t>Total Individually Metered Residences:</t>
  </si>
  <si>
    <t>= A</t>
  </si>
  <si>
    <t>Master Metered Residential Accounts Worksheet</t>
  </si>
  <si>
    <t>Single Family Master Metered</t>
  </si>
  <si>
    <t>Multi-family Master Metered</t>
  </si>
  <si>
    <t>Number</t>
  </si>
  <si>
    <t>Equivalent</t>
  </si>
  <si>
    <t xml:space="preserve">Single </t>
  </si>
  <si>
    <t xml:space="preserve">of Single </t>
  </si>
  <si>
    <t>Unit</t>
  </si>
  <si>
    <t>Counted</t>
  </si>
  <si>
    <t>of Multi-</t>
  </si>
  <si>
    <t xml:space="preserve">Family </t>
  </si>
  <si>
    <t>Family</t>
  </si>
  <si>
    <t>Adjust-</t>
  </si>
  <si>
    <t xml:space="preserve">Meter </t>
  </si>
  <si>
    <t>Master</t>
  </si>
  <si>
    <t>ment</t>
  </si>
  <si>
    <t xml:space="preserve">Housing </t>
  </si>
  <si>
    <t>Size</t>
  </si>
  <si>
    <t>Units</t>
  </si>
  <si>
    <t>Meters</t>
  </si>
  <si>
    <t>Factor</t>
  </si>
  <si>
    <t>Housing</t>
  </si>
  <si>
    <t>C</t>
  </si>
  <si>
    <t>(B x C) / D</t>
  </si>
  <si>
    <t>= E</t>
  </si>
  <si>
    <t>= F</t>
  </si>
  <si>
    <t>3/4"</t>
  </si>
  <si>
    <t>1"</t>
  </si>
  <si>
    <t>1 1/2"</t>
  </si>
  <si>
    <t>2"</t>
  </si>
  <si>
    <t>3"</t>
  </si>
  <si>
    <t>4"</t>
  </si>
  <si>
    <t>6"</t>
  </si>
  <si>
    <t>8"</t>
  </si>
  <si>
    <t>10"</t>
  </si>
  <si>
    <t>12"</t>
  </si>
  <si>
    <t>Sum:</t>
  </si>
  <si>
    <t>Mobile Home (Trailer) Master Metered</t>
  </si>
  <si>
    <t>Manufactured Home Master Metered</t>
  </si>
  <si>
    <t xml:space="preserve">of Mobile </t>
  </si>
  <si>
    <t>of Manu.</t>
  </si>
  <si>
    <t>Home</t>
  </si>
  <si>
    <t>Total Residential Account Housing Units for the Year of Interest (RESUNITS) = G</t>
  </si>
  <si>
    <t>(Sum the total individually metered residences (A) and the sums of equivalent master metered residential account housing</t>
  </si>
  <si>
    <t>units (Es) or the sums of the counted master metered residential account housing units (Fs).</t>
  </si>
  <si>
    <t>SEARCH_FIELD</t>
  </si>
  <si>
    <t>Data to Complete Appendix C Worksheets</t>
  </si>
  <si>
    <t>Part D of the Water Use Permit Information Manual:  Requirements for the Estimation of Permanent And Temporal Service Area Populations</t>
  </si>
  <si>
    <t>Worksheet G:  Functional Tourist Population</t>
  </si>
  <si>
    <t>Page:   of :</t>
  </si>
  <si>
    <t>Population Year of Interest:</t>
  </si>
  <si>
    <t>Data Entry Required in Solid Bold Bordered Cells</t>
  </si>
  <si>
    <t>Use Part 1 to estimate functional tourist population from directly collected</t>
  </si>
  <si>
    <t>collected data or Part 2 to to estimate functional tourist population indirectly</t>
  </si>
  <si>
    <t>from touris accomodation taxes.  Use Part 3 to estimate functional in-home</t>
  </si>
  <si>
    <t>tourist population.</t>
  </si>
  <si>
    <t>Part 1: Public Lodging Data Method</t>
  </si>
  <si>
    <t>a. Inventory of Service Area Public Lodging</t>
  </si>
  <si>
    <t>Attach documentation of data source and year collected.</t>
  </si>
  <si>
    <t>Note:  Insert additional rows as needed.</t>
  </si>
  <si>
    <t>Number of</t>
  </si>
  <si>
    <t xml:space="preserve">Public Lodging Facility Name </t>
  </si>
  <si>
    <t>Rooms</t>
  </si>
  <si>
    <t>A</t>
  </si>
  <si>
    <t>Sum of Service Area Rooms = A</t>
  </si>
  <si>
    <t>b. Average Annual Monthly Occupancy Rate</t>
  </si>
  <si>
    <t xml:space="preserve">Attach documentation of data source and year collected. For seasonal </t>
  </si>
  <si>
    <t>data, insert same occupancy rate for each month in applicable season.</t>
  </si>
  <si>
    <t>For average annual data, enter annual rate in each month.</t>
  </si>
  <si>
    <t>Customer survey data must be weighted by customer rooms.</t>
  </si>
  <si>
    <t>See Section A-5.1.2.</t>
  </si>
  <si>
    <t>Monthly</t>
  </si>
  <si>
    <t>Occupancy</t>
  </si>
  <si>
    <t>Month</t>
  </si>
  <si>
    <t>Rate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</si>
  <si>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</si>
  <si>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</si>
  <si>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</si>
  <si>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</si>
  <si>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</si>
  <si>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</si>
  <si>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</si>
  <si>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</si>
  <si>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</si>
  <si>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</si>
  <si>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</si>
  <si>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</si>
  <si>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 of Monthly Occupancy Rates = C</t>
  </si>
  <si>
    <t>Average Monthly Occupancy Rate = D = C/12</t>
  </si>
  <si>
    <t>c. Average Guests Per Room (party size)</t>
  </si>
  <si>
    <t>Documentation of data source and year collected required (other than defaults).</t>
  </si>
  <si>
    <t>Customer survey data must be weighted by number of rooms per customer</t>
  </si>
  <si>
    <t>respondent.  See Section 5.1.4 of Appendix A..</t>
  </si>
  <si>
    <t xml:space="preserve">Enter an X under the source of the data and enter the selected value under E. </t>
  </si>
  <si>
    <t xml:space="preserve">Coastal Beach </t>
  </si>
  <si>
    <t>All Other</t>
  </si>
  <si>
    <t>Lodging</t>
  </si>
  <si>
    <t>Other</t>
  </si>
  <si>
    <t>Destination County</t>
  </si>
  <si>
    <t>Counties</t>
  </si>
  <si>
    <t>Customer</t>
  </si>
  <si>
    <t>(Must</t>
  </si>
  <si>
    <t>Default = 2.7</t>
  </si>
  <si>
    <t>Default = 2.3</t>
  </si>
  <si>
    <t>Document)</t>
  </si>
  <si>
    <t>d. Total Direct Data Daily Public Lodging Tourist Population</t>
  </si>
  <si>
    <t>F</t>
  </si>
  <si>
    <t>F = A x D x E</t>
  </si>
  <si>
    <t>Part 2: Tourist Accomodations Lodging Tax Method</t>
  </si>
  <si>
    <t>If average daily room rate is from customer survey, room rates must be</t>
  </si>
  <si>
    <t>weighted by number of rooms per customer respondent (see Section 5.1.4 App. A).</t>
  </si>
  <si>
    <t>a. Calculation of Room Days Per Month</t>
  </si>
  <si>
    <t>Average</t>
  </si>
  <si>
    <t>Service Area Tourist</t>
  </si>
  <si>
    <t>Daily</t>
  </si>
  <si>
    <t>Total Room</t>
  </si>
  <si>
    <t>Accomodation Tax</t>
  </si>
  <si>
    <t>Room</t>
  </si>
  <si>
    <t>Days Per</t>
  </si>
  <si>
    <t>Collections</t>
  </si>
  <si>
    <t>Tax Rate</t>
  </si>
  <si>
    <t>Revenue</t>
  </si>
  <si>
    <t>H</t>
  </si>
  <si>
    <t>I = G/H</t>
  </si>
  <si>
    <t>J</t>
  </si>
  <si>
    <t>K = I/J</t>
  </si>
  <si>
    <t>L</t>
  </si>
  <si>
    <t>Sum of Room Days Per Month = L</t>
  </si>
  <si>
    <t>b. Average Guests Per Room (party size)</t>
  </si>
  <si>
    <t>respondent.  See Section 5.1.4 of Appendix A.</t>
  </si>
  <si>
    <t xml:space="preserve">Enter an X under the source of the data and enter the selected value under M. </t>
  </si>
  <si>
    <t>M</t>
  </si>
  <si>
    <t xml:space="preserve">c. Calculation of Tourist Tax Estimated Tourist Daily Population </t>
  </si>
  <si>
    <t>N</t>
  </si>
  <si>
    <t>N = (L x M)/365</t>
  </si>
  <si>
    <t>Part 3. In-Home Tourist Population</t>
  </si>
  <si>
    <t>Documentation of data source and year collected required.</t>
  </si>
  <si>
    <t>Note:  See Worksheet A for total Service Area Residential Account</t>
  </si>
  <si>
    <t>Housing Units for the Year of Interest (RESUNITS)</t>
  </si>
  <si>
    <t>Average In-</t>
  </si>
  <si>
    <t xml:space="preserve">Average </t>
  </si>
  <si>
    <t>Home Tourist</t>
  </si>
  <si>
    <t>Annual In-</t>
  </si>
  <si>
    <t>Household</t>
  </si>
  <si>
    <t>Tourists</t>
  </si>
  <si>
    <t>Per Year</t>
  </si>
  <si>
    <t>per Day</t>
  </si>
  <si>
    <t>O</t>
  </si>
  <si>
    <t>P</t>
  </si>
  <si>
    <t>Q</t>
  </si>
  <si>
    <t>Q = (O x P)/365</t>
  </si>
  <si>
    <t>Part 4: Total Functional (Daily) Tourist Population (FTOURPOP)</t>
  </si>
  <si>
    <t>The total functional tourist population is the sum of "F" from Part 1</t>
  </si>
  <si>
    <t>or "N" from Part 2 plus "Q" from Part 3.</t>
  </si>
  <si>
    <t>+</t>
  </si>
  <si>
    <t>Worksheet I: Functional Net Commuter Population</t>
  </si>
  <si>
    <t>Page 1 of :</t>
  </si>
  <si>
    <t>NOTE: See Section 6.1 of Appendix A for identification and selection of Census Tracts.</t>
  </si>
  <si>
    <t>Additional Census tract rows may be added as needed.</t>
  </si>
  <si>
    <t>Census Tracts Included</t>
  </si>
  <si>
    <t>Net Commuters</t>
  </si>
  <si>
    <t>Census Total Housing Units</t>
  </si>
  <si>
    <t>Census County or Code</t>
  </si>
  <si>
    <t>Tract Number</t>
  </si>
  <si>
    <t>by Census Tract</t>
  </si>
  <si>
    <t>(CHOUSUNITS) by Tract</t>
  </si>
  <si>
    <t>Sums</t>
  </si>
  <si>
    <t>Ratio of Net Commuters</t>
  </si>
  <si>
    <t>to Census Total</t>
  </si>
  <si>
    <t>C =A/B</t>
  </si>
  <si>
    <t>Housing Units =  C = A/B</t>
  </si>
  <si>
    <t>Net Commuters for Year</t>
  </si>
  <si>
    <t>D = C x RESUNITS</t>
  </si>
  <si>
    <t>of Interest D = C x RESUNITS</t>
  </si>
  <si>
    <t>(for RESUNITS see Section 1</t>
  </si>
  <si>
    <t>of Worksheet B.</t>
  </si>
  <si>
    <t xml:space="preserve">Functional Net Commuter </t>
  </si>
  <si>
    <t>Population for Year of Interest</t>
  </si>
  <si>
    <t>FNETCOM = D x .333 x .714</t>
  </si>
  <si>
    <t>Welcome!</t>
  </si>
  <si>
    <t>2)  Enter your total dwelling units served:</t>
  </si>
  <si>
    <t>Voila!  Here is your total population served:</t>
  </si>
  <si>
    <t>REQPOP+FTOURPOP+FNETCOM</t>
  </si>
  <si>
    <t>OZELLO WATER ASSOCIATION INC</t>
  </si>
  <si>
    <t>AQUA UTILITIES FLORIDA, INC.</t>
  </si>
  <si>
    <t>MHC PEACE RIVER LLC</t>
  </si>
  <si>
    <t>EAGLE LAKE ESTATES LLC</t>
  </si>
  <si>
    <t>UTILITIES, INC.</t>
  </si>
  <si>
    <t>FLORIDA GOVERNMENTAL UTILITY AUTHORITY</t>
  </si>
  <si>
    <t>TRAVLERS REST RESORT INC.</t>
  </si>
  <si>
    <t>SCENIC VIEW MOBILE HOME PARK</t>
  </si>
  <si>
    <t>CMH PARKS INC</t>
  </si>
  <si>
    <t>WHISPERING PINES OF FROSTPROOF LLC</t>
  </si>
  <si>
    <t>LAKEMONT RIDGE LLC</t>
  </si>
  <si>
    <t>ALAFIA PRESERVE, EAGLE RIDGE, AND DONALDSON KNOLL</t>
  </si>
  <si>
    <t>PALMER ENTERPRISES</t>
  </si>
  <si>
    <t>FLORIDA GRANDE MOTOR COACH RESORT</t>
  </si>
  <si>
    <t>CHARLOTTE_GASPARILLA ISLAND WATER ASSOC._WUP#_718</t>
  </si>
  <si>
    <t>CHARLOTTE_CITY OF PUNTA GORDA UTILITY DEPT_WUP#_871</t>
  </si>
  <si>
    <t>CHARLOTTE_CHARLOTTE HARBOR WATER ASSOC._WUP#_1512</t>
  </si>
  <si>
    <t>CHARLOTTE_CHARLOTTE COUNTY UTILITIES_WUP#_3522</t>
  </si>
  <si>
    <t>CHARLOTTE_CHARLOTTE COUNTY UTILITIES_WUP#_7104</t>
  </si>
  <si>
    <t>CHARLOTTE_ISLAND HARBOR BCH CLUB LTD &amp; CHAR_WUP#_7768</t>
  </si>
  <si>
    <t>CHARLOTTE_HOMEOWNERS OF ALLIGATOR PARK_WUP#_8626</t>
  </si>
  <si>
    <t>CHARLOTTE_EL JOBEAN WATER ASSOC._WUP#_99913</t>
  </si>
  <si>
    <t>CHARLOTTE_RIVERWOOD DEVELOPMENT_WUP#_99916</t>
  </si>
  <si>
    <t>CITRUS_CITY OF CRYSTAL RIVER_WUP#_207</t>
  </si>
  <si>
    <t>CITRUS_CITY OF INVERNESS_WUP#_419</t>
  </si>
  <si>
    <t>CITRUS_CITRUS COUNTY UTILITIES_WUP#_729</t>
  </si>
  <si>
    <t>CITRUS_FLORAL CITY WATER ASSOCIATION_WUP#_1118</t>
  </si>
  <si>
    <t>CITRUS_ROYAL OAKS OF CITRUS HOA_WUP#_1345</t>
  </si>
  <si>
    <t>CITRUS_CITRUS COUNTY UTILITIES_WUP#_2842</t>
  </si>
  <si>
    <t>CITRUS_DAVID L., HOLLY A., JAMES L., PATRICIA A. COOK_WUP#_4008</t>
  </si>
  <si>
    <t>CITRUS_ROLLING OAKS UTILITIES, INC._WUP#_4153</t>
  </si>
  <si>
    <t>CITRUS_HOMOSASSA SPECIAL WATER DISTRICT_WUP#_4406</t>
  </si>
  <si>
    <t>CITRUS_CONSTATE UTILITIES_WUP#_4753</t>
  </si>
  <si>
    <t>CITRUS_GULF HIGHWAY LAND CORP._WUP#_6691</t>
  </si>
  <si>
    <t>CITRUS_CITRUS COUNTY UTILITIES_WUP#_7121</t>
  </si>
  <si>
    <t>CITRUS_CITRUS COUNTY UTILITIES_WUP#_7295</t>
  </si>
  <si>
    <t>CITRUS_CITRUS COUNTY UTILITIES_WUP#_7879</t>
  </si>
  <si>
    <t>CITRUS_OAK POND LLC, A FLORIDA LLC_WUP#_8147</t>
  </si>
  <si>
    <t>CITRUS_TARAWOOD OF FLORAL CITY_WUP#_9097</t>
  </si>
  <si>
    <t>CITRUS_BREENBRIAR ONE OF CITRUS HILLS OWNERS ASSOCIATION INC_WUP#_9532</t>
  </si>
  <si>
    <t>CITRUS_CITRUS COUNTY UTILITIES_WUP#_9791</t>
  </si>
  <si>
    <t>CITRUS_WALDEN WOODS OF SUGARMILL INC._WUP#_11839</t>
  </si>
  <si>
    <t>CITRUS_OZELLO WATER ASSOCIATION INC_WUP#_20230</t>
  </si>
  <si>
    <t>DESOTO_CITY OF ARCADIA_WUP#_4725</t>
  </si>
  <si>
    <t>HARDEE_CITY OF BOWLING GREEN MUNICIPAL_WUP#_30</t>
  </si>
  <si>
    <t>HARDEE_CITY OF WAUCHULA_WUP#_4461</t>
  </si>
  <si>
    <t>HARDEE_MHC PEACE RIVER LLC_WUP#_7022</t>
  </si>
  <si>
    <t>HARDEE_TOWN OF ZOLFO SPRINGS_WUP#_7658</t>
  </si>
  <si>
    <t>HERNANDO_MCGIST INC.  (FRONTIER CAMPGROUD)_WUP#_3720</t>
  </si>
  <si>
    <t>HERNANDO_HERNANDO COUNTY WATER AND SEWER_WUP#_5789</t>
  </si>
  <si>
    <t>HERNANDO_CITY OF BROOKSVILLE_WUP#_7627</t>
  </si>
  <si>
    <t>HIGHLANDS_CITY OF SEBRING_WUP#_4492</t>
  </si>
  <si>
    <t>HIGHLANDS_MARANANTHA BAPTIST CHURCH_WUP#_4670</t>
  </si>
  <si>
    <t>HIGHLANDS_LAKE PLACID HOLDING CO_WUP#_4980</t>
  </si>
  <si>
    <t>HIGHLANDS_TOWN OF LAKE PLACID_WUP#_5270</t>
  </si>
  <si>
    <t>HIGHLANDS_CITY OF AVON PARK_WUP#_6029</t>
  </si>
  <si>
    <t>HIGHLANDS_BUTTONWOOD BAY UTILITIES_WUP#_7139</t>
  </si>
  <si>
    <t>HIGHLANDS_COUNTRY CLUB UTILITIES_WUP#_7704</t>
  </si>
  <si>
    <t>HIGHLANDS_EAGLE LAKE ESTATES LLC_WUP#_9140</t>
  </si>
  <si>
    <t>HIGHLANDS_LP UTILITIES INC._WUP#_9490</t>
  </si>
  <si>
    <t>HIGHLANDS_SUN'N LAKE OF SEBRING_WUP#_13099</t>
  </si>
  <si>
    <t>HIGHLANDS_SILVER LAKE UTILITIES, INC._WUP#_13367</t>
  </si>
  <si>
    <t>HILLSBOROUGH_CITY OF TEMPLE TERRACE_WUP#_450</t>
  </si>
  <si>
    <t>HILLSBOROUGH_CITY OF PLANT CITY UTILITIES_WUP#_1776</t>
  </si>
  <si>
    <t>HILLSBOROUGH_PARADISE LAKES UTILITY, LLC_WUP#_1787</t>
  </si>
  <si>
    <t>HILLSBOROUGH_CITY OF TAMPA WATER DEPT_WUP#_2062</t>
  </si>
  <si>
    <t>HILLSBOROUGH_CHARLES SPRINGER_WUP#_2285</t>
  </si>
  <si>
    <t>HILLSBOROUGH_UTILITIES, INC._WUP#_2707</t>
  </si>
  <si>
    <t>HILLSBOROUGH_LITTLE MANATEE ISLE MHP_WUP#_2888</t>
  </si>
  <si>
    <t>HILLSBOROUGH_WILDER CORPORATION_WUP#_4757</t>
  </si>
  <si>
    <t>HILLSBOROUGH_C W UTILITY SYSTEMS LLC_WUP#_6879</t>
  </si>
  <si>
    <t>HILLSBOROUGH_MALCO INDUSTRIES INC._WUP#_7002</t>
  </si>
  <si>
    <t>HILLSBOROUGH_RIVERSIDE GOLF COURSE COMM LLC_WUP#_7637</t>
  </si>
  <si>
    <t>HILLSBOROUGH_UNIPROP INCOME FUND II (PARADISE VILLAGE)_WUP#_7790</t>
  </si>
  <si>
    <t>HILLSBOROUGH_ALLIED UTILITIES,  INC._WUP#_8986</t>
  </si>
  <si>
    <t>HILLSBOROUGH_WINDEMERE UTILITY COMPANY_WUP#_10443</t>
  </si>
  <si>
    <t>HILLSBOROUGH_PLURIS PCU INC_WUP#_12994</t>
  </si>
  <si>
    <t>HILLSBOROUGH_HILLSBOROUGH COUNTY UTILITIES_WUP#_20141</t>
  </si>
  <si>
    <t>LEVY_CITY OF WILLISTON_WUP#_5640</t>
  </si>
  <si>
    <t>LEVY_TOWN OF YANKEETOWN_WUP#_7755</t>
  </si>
  <si>
    <t>LEVY_OAK AVENUE WATER SYSTEM_WUP#_7825</t>
  </si>
  <si>
    <t>LEVY_TOWN OF INGLIS_WUP#_8953</t>
  </si>
  <si>
    <t>MANATEE_CITY OF BRADENTON PUBLIC WORKS_WUP#_6392</t>
  </si>
  <si>
    <t>MANATEE_TOWN OF LONGBOAT KEY_WUP#_10963</t>
  </si>
  <si>
    <t>MANATEE_CITY OF PALMETTO PUBLIC WORKS_WUP#_12443</t>
  </si>
  <si>
    <t>MARION_MARION UTILITIES INC._WUP#_2999</t>
  </si>
  <si>
    <t>MARION_UTILITIES, INC._WUP#_5643</t>
  </si>
  <si>
    <t>MARION_FOXWOOD MOBILE HOME PARK_WUP#_5731</t>
  </si>
  <si>
    <t>MARION_MARION COUNTY UTILITIES_WUP#_6151</t>
  </si>
  <si>
    <t>MARION_MARION UTILITIES INC._WUP#_6574</t>
  </si>
  <si>
    <t>MARION_SUN COMMUNITIES - SADDLE OAK CLUB MHC_WUP#_6792</t>
  </si>
  <si>
    <t>MARION_MARION UTILITIES INC._WUP#_7849</t>
  </si>
  <si>
    <t>MARION_CENTURY-FAIRFIELD VILLAGE LTD_WUP#_8005</t>
  </si>
  <si>
    <t>MARION_MARION LANDING HOMEOWNERS_WUP#_8020</t>
  </si>
  <si>
    <t>MARION_CITY OF DUNNELLON_WUP#_8339</t>
  </si>
  <si>
    <t>MARION_MARION UTILITIES INC._WUP#_8481</t>
  </si>
  <si>
    <t>MARION_SWEETWATER OAKS LTD_WUP#_9425</t>
  </si>
  <si>
    <t>MARION_SOUTH DUNNELLON WATER ASSOCIATION_WUP#_10966</t>
  </si>
  <si>
    <t>MARION_SATAKE VILLAGE UTILITIES_WUP#_20098</t>
  </si>
  <si>
    <t>MARION_CITY OF DUNNELLON_WUP#_20213</t>
  </si>
  <si>
    <t>PASCO_HOLIDAY GARDENS UTILITIES, INC._WUP#_540</t>
  </si>
  <si>
    <t>PASCO_CRESTRIDGE UTILITY CORPORATION_WUP#_543</t>
  </si>
  <si>
    <t>PASCO_FLORIDA GOVERNMENTAL UTILITY AUTHORITY_WUP#_590</t>
  </si>
  <si>
    <t>PASCO_TRAVLERS REST RESORT INC._WUP#_923</t>
  </si>
  <si>
    <t>PASCO_C.S. WATER CO. INC._WUP#_964</t>
  </si>
  <si>
    <t>PASCO_CITY OF DADE CITY_WUP#_1631</t>
  </si>
  <si>
    <t>PASCO_ORANGEWOOD LAKES MOBILE HOME_WUP#_2043</t>
  </si>
  <si>
    <t>PASCO_FLORIDA GOVERNMENTAL UTILITY AUTHORITY_WUP#_2319</t>
  </si>
  <si>
    <t>PASCO_FLORIDA GOVERNMENTAL UTILITY AUTHORITY_WUP#_2978</t>
  </si>
  <si>
    <t>PASCO_FLORIDA GOVERNMENTAL UTILITY AUTHORITY_WUP#_3182</t>
  </si>
  <si>
    <t>PASCO_TIPPECANOE VILLAGE HOMEOWNERS_WUP#_3528</t>
  </si>
  <si>
    <t>PASCO_UTILITIES, INC._WUP#_3590</t>
  </si>
  <si>
    <t>PASCO_COUNTRY AIRE SERVICE CORPORATION_WUP#_3619</t>
  </si>
  <si>
    <t>PASCO_FLORIDA GOVERNMENTAL UTILITY AUTHORITY_WUP#_3677</t>
  </si>
  <si>
    <t>PASCO_CITY OF PORT RICHEY_WUP#_3692</t>
  </si>
  <si>
    <t>PASCO_AQUA UTILITIES FLORIDA, INC._WUP#_3759</t>
  </si>
  <si>
    <t>PASCO_CITY OF SAN ANTONIO_WUP#_4550</t>
  </si>
  <si>
    <t>PASCO_UTILITIES, INC._WUP#_4668</t>
  </si>
  <si>
    <t>PASCO_HUDSON WATER WORKS, INC._WUP#_4669</t>
  </si>
  <si>
    <t>PASCO_CITY OF NEW PORT RICHEY_WUP#_4734</t>
  </si>
  <si>
    <t>PASCO_HACIENDA UTILITIES LTD_WUP#_5953</t>
  </si>
  <si>
    <t>PASCO_CITY OF ZEPHYRHILLS_WUP#_6040</t>
  </si>
  <si>
    <t>PASCO_FLORIDA GOVERNMENTAL UTILITY AUTHORITY_WUP#_6223</t>
  </si>
  <si>
    <t>PASCO_GEM ESTATES_WUP#_6640</t>
  </si>
  <si>
    <t>PASCO_UTILITIES, INC._WUP#_6867</t>
  </si>
  <si>
    <t>PASCO_JEFFERY A. COLE_WUP#_6982</t>
  </si>
  <si>
    <t>PASCO_L.W.V. UTILITIES, INC._WUP#_7299</t>
  </si>
  <si>
    <t>PASCO_CAV. HOMEOWNERS COOPERATIVE, INC._WUP#_7588</t>
  </si>
  <si>
    <t>PASCO_FLORIDA GOVERNMENTAL UTILITY AUTHORITY_WUP#_7718</t>
  </si>
  <si>
    <t>PASCO_FLORIDA GOVERNMENTAL UTILITY AUTHORITY_WUP#_7745</t>
  </si>
  <si>
    <t>PASCO_FLORIDA GOVERNMENTAL UTILITY AUTHORITY_WUP#_7999</t>
  </si>
  <si>
    <t>PASCO_FLORIDA GOVERNMENTAL UTILITY AUTHORITY_WUP#_8417</t>
  </si>
  <si>
    <t>PASCO_PARRISH PROPERTIES V LLC_WUP#_8491</t>
  </si>
  <si>
    <t>PASCO_SOUTHFORK MOBILE HOME COMM_WUP#_9666</t>
  </si>
  <si>
    <t>PASCO_AQUA UTILITIES FLORIDA, INC._WUP#_11082</t>
  </si>
  <si>
    <t>PASCO_PASCO COUNTY UTILITIES_WUP#_11863</t>
  </si>
  <si>
    <t>PASCO_ARBOR OAKS (MINK ASSOC.)_WUP#_99906</t>
  </si>
  <si>
    <t>PASCO_ORCHID LAKE UTILITIES_WUP#_99915</t>
  </si>
  <si>
    <t>PINELLAS_CITY OF TARPON SPRINGS_WUP#_742</t>
  </si>
  <si>
    <t>PINELLAS_CITY OF DUNEDIN_WUP#_2980</t>
  </si>
  <si>
    <t>PINELLAS_CITY OF CLEARWATER-WATER DIV_WUP#_2981</t>
  </si>
  <si>
    <t>PINELLAS_TOWN OF BELLEAIR_WUP#_7692</t>
  </si>
  <si>
    <t>PINELLAS_UTILITIES, INC._WUP#_10350</t>
  </si>
  <si>
    <t>PINELLAS_CITY OF GULFPORT_WUP#_10795</t>
  </si>
  <si>
    <t>PINELLAS_CITY OF OLDSMAR_WUP#_11218</t>
  </si>
  <si>
    <t>PINELLAS_CITY OF SAFETY HARBOR_WUP#_11245</t>
  </si>
  <si>
    <t>PINELLAS_CITY OF PINELLAS PARK_WUP#_12351</t>
  </si>
  <si>
    <t>PINELLAS_PINELLAS COUNTY UTILITIES_WUP#_20142</t>
  </si>
  <si>
    <t>PINELLAS_CITY OF ST. PETERSBURG_WUP#_20143</t>
  </si>
  <si>
    <t>POLK_MOUNTAIN LAKE CORPORATION_WUP#_143</t>
  </si>
  <si>
    <t>POLK_CITY OF BARTOW_WUP#_341</t>
  </si>
  <si>
    <t>POLK_LELYNN RV RESORT_WUP#_587</t>
  </si>
  <si>
    <t>POLK_CITY OF FORT MEADE_WUP#_645</t>
  </si>
  <si>
    <t>POLK_LAKE REGION MOBILE HOMEOWNERS_WUP#_1616</t>
  </si>
  <si>
    <t>POLK_FOUR LAKES MOBILE HOME PARK_WUP#_1625</t>
  </si>
  <si>
    <t>POLK_KEEN UTILITIES_WUP#_2083</t>
  </si>
  <si>
    <t>POLK_TOWN OF LAKE HAMILTON_WUP#_2332</t>
  </si>
  <si>
    <t>POLK_SCENIC VIEW MOBILE HOME PARK_WUP#_2410</t>
  </si>
  <si>
    <t>POLK_SWEETWATER EAST INVESTMENT CO_WUP#_2449</t>
  </si>
  <si>
    <t>POLK_KEEN UTILITIES_WUP#_3214</t>
  </si>
  <si>
    <t>POLK_ORCHID SPRINGS DEVELOPMENT_WUP#_3415</t>
  </si>
  <si>
    <t>POLK_PARK WATER COMPANY_WUP#_4005</t>
  </si>
  <si>
    <t>POLK_CMH PARKS INC_WUP#_4441</t>
  </si>
  <si>
    <t>POLK_CITY OF WINTER HAVEN_WUP#_4607</t>
  </si>
  <si>
    <t>POLK_CITY OF LAKE WALES_WUP#_4658</t>
  </si>
  <si>
    <t>POLK_CITY OF LAKELAND ELECTRIC AND WATER_WUP#_4912</t>
  </si>
  <si>
    <t>POLK_GRENELEFE RESORT UTILITY, INC._WUP#_5251</t>
  </si>
  <si>
    <t>POLK_CITY OF DAVENPORT_WUP#_5750</t>
  </si>
  <si>
    <t>POLK_CITY OF FROSTPROOF_WUP#_5870</t>
  </si>
  <si>
    <t>POLK_TOWN OF DUNDEE_WUP#_5893</t>
  </si>
  <si>
    <t>POLK_CITY OF MULBERRY_WUP#_6124</t>
  </si>
  <si>
    <t>POLK_SADDLEBAG LAKE OWNERS_WUP#_6174</t>
  </si>
  <si>
    <t>POLK_WHISPERING PINES OF FROSTPROOF LLC_WUP#_6208</t>
  </si>
  <si>
    <t>POLK_POLK COUNTY UTILITIES_WUP#_6505</t>
  </si>
  <si>
    <t>POLK_POLK COUNTY UTILITIES_WUP#_6506</t>
  </si>
  <si>
    <t>POLK_POLK COUNTY UTILITIES_WUP#_6507</t>
  </si>
  <si>
    <t>POLK_POLK COUNTY UTILITIES_WUP#_6508</t>
  </si>
  <si>
    <t>POLK_POLK COUNTY UTILITIES_WUP#_6509</t>
  </si>
  <si>
    <t>POLK_CITY OF LAKE ALFRED_WUP#_6624</t>
  </si>
  <si>
    <t>POLK_KEEN UTILITIES_WUP#_6679</t>
  </si>
  <si>
    <t>POLK_CITY OF EAGLE LAKE_WUP#_6920</t>
  </si>
  <si>
    <t>POLK_CITY OF AUBURNDALE_WUP#_7119</t>
  </si>
  <si>
    <t>POLK_TEVALO INC_WUP#_7172</t>
  </si>
  <si>
    <t>POLK_CHCVII  LAKE HENRY MHP_WUP#_7187</t>
  </si>
  <si>
    <t>POLK_CAREFREE RV COUNTRY CLUB_WUP#_7328</t>
  </si>
  <si>
    <t>POLK_CMH PARKS INC_WUP#_7333</t>
  </si>
  <si>
    <t>POLK_LAKEMONT RIDGE LLC_WUP#_7557</t>
  </si>
  <si>
    <t>POLK_POLK COUNTY UTILITIES_WUP#_8054</t>
  </si>
  <si>
    <t>POLK_MOUSE MOUNTAIN RV RESORT_WUP#_8285</t>
  </si>
  <si>
    <t>POLK_S. V. UTILITIES, LTD._WUP#_8344</t>
  </si>
  <si>
    <t>POLK_THREE WORLDS LIMITED PARTNERSHIP_WUP#_8399</t>
  </si>
  <si>
    <t>POLK_CITY OF POLK CITY_WUP#_8468</t>
  </si>
  <si>
    <t>POLK_CITY OF HAINES CITY_WUP#_8522</t>
  </si>
  <si>
    <t>POLK_PLANTATION LANDINGS MHP_WUP#_8753</t>
  </si>
  <si>
    <t>POLK_SWEETWATER CO-OP_WUP#_8967</t>
  </si>
  <si>
    <t>POLK_PINECREST RANCHES_WUP#_9128</t>
  </si>
  <si>
    <t>POLK_SPRV LTD_WUP#_9557</t>
  </si>
  <si>
    <t>POLK_KEEN UTILITIES_WUP#_9569</t>
  </si>
  <si>
    <t>POLK_VILLAGE OF HIGHLAND PARK_WUP#_9807</t>
  </si>
  <si>
    <t>POLK_VAN LAKES HOMEOWNERS ASSOCIATION_WUP#_9835</t>
  </si>
  <si>
    <t>POLK_POLK COUNTY UTILITIES_WUP#_10141</t>
  </si>
  <si>
    <t>POLK_ALAFIA PRESERVE, EAGLE RIDGE, AND DONALDSON KNOLL_WUP#_12964</t>
  </si>
  <si>
    <t>POLK_UTILITIES, INC._WUP#_13043</t>
  </si>
  <si>
    <t>POLK_SKYVIEW UTILITIES_WUP#_99905</t>
  </si>
  <si>
    <t>SARASOTA_CITY OF NORTH PORT_WUP#_2923</t>
  </si>
  <si>
    <t>SARASOTA_CITY OF SARASOTA_WUP#_4318</t>
  </si>
  <si>
    <t>SARASOTA_ENGLEWOOD WATER DISTRICT_WUP#_4866</t>
  </si>
  <si>
    <t>SARASOTA_CITY OF VENICE_WUP#_5393</t>
  </si>
  <si>
    <t>SARASOTA_JEROME &amp; FREDERICK ELLIS_WUP#_5456</t>
  </si>
  <si>
    <t>SARASOTA_CAMELOT COMMUNITIES MHP LLC_WUP#_5807</t>
  </si>
  <si>
    <t>SARASOTA_ROYALTY RESORTS CORPORATION_WUP#_7448</t>
  </si>
  <si>
    <t>SARASOTA_SARASOTA COUNTY BOCC UTILITIES DEPARTMENT_WUP#_8836</t>
  </si>
  <si>
    <t>SARASOTA_PLURIS-SOUTH GATE UTILITIES_WUP#_99914</t>
  </si>
  <si>
    <t>SUMTER_LAKE PANASOFFKEE WATER ASSOCIATION_WUP#_1368</t>
  </si>
  <si>
    <t>SUMTER_CITY OF BUSHNELL_WUP#_6519</t>
  </si>
  <si>
    <t>SUMTER_CITY OF WEBSTER_WUP#_7185</t>
  </si>
  <si>
    <t>SUMTER_CEDAR ACRES INC._WUP#_7799</t>
  </si>
  <si>
    <t>SUMTER_CITY OF WILDWOOD_WUP#_8135</t>
  </si>
  <si>
    <t>SUMTER_CITY OF CENTER HILL_WUP#_8193</t>
  </si>
  <si>
    <t>SUMTER_CITY OF COLEMAN_WUP#_10488</t>
  </si>
  <si>
    <t>SUMTER_THE VILLAGES COMBINED_WUP#_13005</t>
  </si>
  <si>
    <t>SUMTER_FLORIDA GRANDE MOTOR COACH RESORT_WUP#_13123</t>
  </si>
  <si>
    <t>1) Select your service area from the drop down menu below:</t>
  </si>
  <si>
    <t>Date Printed:</t>
  </si>
  <si>
    <t>DWELLTMINUS1</t>
  </si>
  <si>
    <t>DWELLTMINUS4</t>
  </si>
  <si>
    <t>DWELLTMINUS3</t>
  </si>
  <si>
    <t>DWELLTMINUS2</t>
  </si>
  <si>
    <t>POPTMINUS4</t>
  </si>
  <si>
    <t>POPTMINUS3</t>
  </si>
  <si>
    <t>POPTMINUS2</t>
  </si>
  <si>
    <t>POPTMINUS1</t>
  </si>
  <si>
    <t>Total Dwellings Units Served</t>
  </si>
  <si>
    <t>Data from the last five years:</t>
  </si>
  <si>
    <t>Population Served</t>
  </si>
  <si>
    <t>HC WATERWORKS</t>
  </si>
  <si>
    <t>HIGHLANDS_HC WATERWORKS_WUP#_4167</t>
  </si>
  <si>
    <t>HIGHLANDS_HC WATERWORKS_WUP#_6456</t>
  </si>
  <si>
    <t>PASCO_FLORIDA GOVERNMENTAL UTILITY AUTHORITY_WUP#_279</t>
  </si>
  <si>
    <t>BAY LAUREL COMMUNITY DEVELOPMENT DISTRICT</t>
  </si>
  <si>
    <t>MARION_BAY LAUREL COMMUNITY DEVELOPMENT DISTRICT_WUP#_1156</t>
  </si>
  <si>
    <t>MANATEE COUNTY UTILITIES</t>
  </si>
  <si>
    <t>MANATEE_MANATEE COUNTY UTILITIES_WUP#_13343</t>
  </si>
  <si>
    <t>POLK_FLORIDA GOVERNMENTAL UTILITY AUTHORITY_WUP#_7653</t>
  </si>
  <si>
    <t>POLK_FLORIDA GOVERNMENTAL UTILITY AUTHORITY_WUP#_7878</t>
  </si>
  <si>
    <t>POLK_FLORIDA GOVERNMENTAL UTILITY AUTHORITY_WUP#_9336</t>
  </si>
  <si>
    <t>If you have verified that your service area is correct, then you may proceed to calculate your</t>
  </si>
  <si>
    <t>Note:  The above population served estimates includes the permanent, seasonal, tourist, and</t>
  </si>
  <si>
    <t>net commuters.  If you plan to take a significant use deduction, you may not be able to include</t>
  </si>
  <si>
    <t>tourist and net commuters.  Restrictions apply.</t>
  </si>
  <si>
    <t>Published:</t>
  </si>
  <si>
    <t>Water Use Permit</t>
  </si>
  <si>
    <t>Sum of Census 2010 Population in Households</t>
  </si>
  <si>
    <t>Sum of Census 2010 Households</t>
  </si>
  <si>
    <t>Sum of Census 2010 Group Quarter Population</t>
  </si>
  <si>
    <t>Sum of Census 2010 Total Housing Units</t>
  </si>
  <si>
    <t>Census 2010 Permanent Persons per Household</t>
  </si>
  <si>
    <t>Seasonal Resident Persons per Household</t>
  </si>
  <si>
    <t>Service Area Peak Seasonal Resident Ratio (2009-2011)</t>
  </si>
  <si>
    <t>Service Area Census Year Seasonal Household</t>
  </si>
  <si>
    <t>Seasonal Households to Total Households Ratio</t>
  </si>
  <si>
    <t>Seasonal Proportional Resident Time</t>
  </si>
  <si>
    <t>Seasonal Resident Adjustment Factor</t>
  </si>
  <si>
    <t>Average Guest Per Room (Party Size)</t>
  </si>
  <si>
    <t>Ratio of Net Commuters to Census Total Housing Units by Tract (2006-2010 ACS)</t>
  </si>
  <si>
    <t>COUNTYNAME</t>
  </si>
  <si>
    <t>UTILITYNAM</t>
  </si>
  <si>
    <t>WUP_PERMIT</t>
  </si>
  <si>
    <t>TROPICAL HARBOR MOBILE HOME ESTATES</t>
  </si>
  <si>
    <t>LAKE PARK VILLAGE CONDO ASSOCIATION</t>
  </si>
  <si>
    <t>MANATEE COUNTY UTILITIES DEPARTMENT</t>
  </si>
  <si>
    <t>NORTH POINTE HOA</t>
  </si>
  <si>
    <t>WUPNUM</t>
  </si>
  <si>
    <t>UtilityName</t>
  </si>
  <si>
    <t>Planning</t>
  </si>
  <si>
    <t>GASPARILLA ISLAND WATER ASSOCIATION, INC.</t>
  </si>
  <si>
    <t>Southern</t>
  </si>
  <si>
    <t>CITY OF PUNTA GORDA</t>
  </si>
  <si>
    <t>CHARLOTTE HARBOR WATER ASSOCIATION</t>
  </si>
  <si>
    <t>CHARLOTTE CO BOCC</t>
  </si>
  <si>
    <t>ISLAND HARBOR BCH CLB LTD &amp; CHAR HARBOR LAND CO &amp; KNIGHT ISLAND</t>
  </si>
  <si>
    <t>Northern</t>
  </si>
  <si>
    <t>FLORAL CITY WATER ASSOCIATION INC</t>
  </si>
  <si>
    <t>CITRUS COUNTY WRD</t>
  </si>
  <si>
    <t>ROLLING OAKS UTILITIES INC</t>
  </si>
  <si>
    <t>GULF HIGHWAY LAND CORPORATION</t>
  </si>
  <si>
    <t>CITRUS COUNTY &amp; WITHLACOOCHEE REGIONAL WATER SUPPLY AUTH</t>
  </si>
  <si>
    <t>GCP WALDEN WOODS ONE, LLC AND GCP WALDEN WOODS TWO, LLC</t>
  </si>
  <si>
    <t>ARCADIA WTP</t>
  </si>
  <si>
    <t>CITY OF BOWLING GREEN MUNICIPAL WATER SYSTEM</t>
  </si>
  <si>
    <t>Heartland</t>
  </si>
  <si>
    <t>HARDEE COUNTY BOCC</t>
  </si>
  <si>
    <t>HERNANDO CO UTILITIES DEPT</t>
  </si>
  <si>
    <t>AQUA UTILITIES FLORIDA INCORPORATED</t>
  </si>
  <si>
    <t>COUNTRY CLUB UTILITIES INC</t>
  </si>
  <si>
    <t>SEBRING 365, LLC</t>
  </si>
  <si>
    <t>LP UTILITIES CORPORATION</t>
  </si>
  <si>
    <t>SUN N LAKE OF SEBRING IMPR DIST</t>
  </si>
  <si>
    <t>CITY OF TEMPLE TERRACE DEPT OF PUBLIC WORKS</t>
  </si>
  <si>
    <t>Tampa Bay</t>
  </si>
  <si>
    <t>CITY OF PLANT CITY, ATTN: GREGORY HORWEDEL, CITY MANAGER</t>
  </si>
  <si>
    <t>DAVPAM MOBILE HOME ASSOC. LLC</t>
  </si>
  <si>
    <t>PLURIS EASTLAKE LLC</t>
  </si>
  <si>
    <t>WILDER CORPORATION C/O COLBY WILDER OR DEBBY REESE</t>
  </si>
  <si>
    <t>TAMPA BAY WATER</t>
  </si>
  <si>
    <t>MHC THE MEADOWS AT COUNTRYWOOD LLC</t>
  </si>
  <si>
    <t>MALCO INDUSTRIES</t>
  </si>
  <si>
    <t>PARADISE VILLAGE MHC, LLC</t>
  </si>
  <si>
    <t>WINDEMERE UTILITY COMPANY, ATTN: BOB KRATZ</t>
  </si>
  <si>
    <t>PLURIS PCU, INC.</t>
  </si>
  <si>
    <t>HILLSBOROUGH COUNTY BOCC, ATTN. PAUL VANDERPLOOG</t>
  </si>
  <si>
    <t>CITY OF BRADENTON</t>
  </si>
  <si>
    <t>CITY OF PALMETTO</t>
  </si>
  <si>
    <t>MARION UTILITIES INC</t>
  </si>
  <si>
    <t>UTILITIES INC OF FLORIDA, ATTN: PATRICK FLYNN</t>
  </si>
  <si>
    <t>MARION CO UTILITIES DEPT</t>
  </si>
  <si>
    <t>NA</t>
  </si>
  <si>
    <t>SUN COMMUNITIES OPERATING LP C/O MARC BENOIT</t>
  </si>
  <si>
    <t>CENTURY FAIRFIELD VILLAGE LTD</t>
  </si>
  <si>
    <t>ASSOCIATION OF MARION LANDING OWNERS, INC</t>
  </si>
  <si>
    <t>MARION UTILITIES INC &amp; SPRUCE CREEK DEVELOPMENT COMPANY</t>
  </si>
  <si>
    <t>WINDSTREAM UTILITIES COMPANY</t>
  </si>
  <si>
    <t>C S WATER COMPANY INC.</t>
  </si>
  <si>
    <t>ORANGEWOOD LAKES MOBILE HOME COMMUNITY INC</t>
  </si>
  <si>
    <t>HUDSON WATER WORKS INC</t>
  </si>
  <si>
    <t>L W V UTILITIES INC</t>
  </si>
  <si>
    <t>PASCO CO UTILITIES</t>
  </si>
  <si>
    <t>CITY OF CLEARWATER/ATTN: GREG TURMAN</t>
  </si>
  <si>
    <t>PINELLAS COUNTY</t>
  </si>
  <si>
    <t>LAKE REGION MOBILE HOME OWNERS INC</t>
  </si>
  <si>
    <t>FOUR LAKES GOLF CLUB LTD C/O LARRY MAXWELL CEO</t>
  </si>
  <si>
    <t>ORCHID SPRINGS DEVELOPMENT CORP</t>
  </si>
  <si>
    <t>CROOKED LAKE PARK WATER COMPANY</t>
  </si>
  <si>
    <t>CITY OF LAKELAND WATER UTILITIES WATER ADMINISTRATION</t>
  </si>
  <si>
    <t>GRENELEFE RESORT LLC</t>
  </si>
  <si>
    <t>TOWN OF DUNDEE PUBLIC WORKS DEPT</t>
  </si>
  <si>
    <t>SADDLEBAG LAKE OWNERS ASSOCIATION INC.</t>
  </si>
  <si>
    <t>POLK CO BOCC UTIL. DIVISION</t>
  </si>
  <si>
    <t>CHC VII LTD CENTURY REALTY FUND</t>
  </si>
  <si>
    <t>CAREFREE RV COUNTRY CLUB OF WINTER HAVEN INC</t>
  </si>
  <si>
    <t>S V UTILITIES LTD</t>
  </si>
  <si>
    <t>PLANTATION LANDINGS LTD</t>
  </si>
  <si>
    <t>SWEETWATER COMMUNITY INC</t>
  </si>
  <si>
    <t>POLK COUNTY BOCC/UTILITIES DIV.</t>
  </si>
  <si>
    <t>JORDANS GROVE LLC</t>
  </si>
  <si>
    <t>ALAFIA PRESERVE LLC, EAGLE RIDGE LLC, AND DONALDSON KNOLL LLC</t>
  </si>
  <si>
    <t>CYPRESS LAKES UTILITIES INC</t>
  </si>
  <si>
    <t>CITY OF SARSOTA PUBLIC WORKS</t>
  </si>
  <si>
    <t>CAMELOT COMMUNITIES MHP, LLC</t>
  </si>
  <si>
    <t xml:space="preserve">ROYALTY RESORT CORPORATION </t>
  </si>
  <si>
    <t>SARASOTA COUNTY BOARD OF COUNTY COMMISSIONERS</t>
  </si>
  <si>
    <t>LAKE PANASOFFKEE WATER ASSOC INC</t>
  </si>
  <si>
    <t>CONTINENTAL COUNTRY CLUB RD INC</t>
  </si>
  <si>
    <t>CEDAR ACRES, INC.</t>
  </si>
  <si>
    <t>CITY OF WILDWOOD CITY MNG</t>
  </si>
  <si>
    <t>THE VILLAGES OF MARION &amp; SUMTER</t>
  </si>
  <si>
    <t>MADISON FLORIDA GRANDE, LLC</t>
  </si>
  <si>
    <t>PERMIT</t>
  </si>
  <si>
    <t>PERMITTEE</t>
  </si>
  <si>
    <t>EWU</t>
  </si>
  <si>
    <t>#</t>
  </si>
  <si>
    <t>NAME(S)</t>
  </si>
  <si>
    <t>-</t>
  </si>
  <si>
    <t>N/A</t>
  </si>
  <si>
    <t>PEACE RIVER MANASOTA REGIONAL WATER SUPPLY AUTHORITY</t>
  </si>
  <si>
    <t xml:space="preserve">Last revised:  </t>
  </si>
  <si>
    <t>INVERNESS VILLAGE CONDO ASSOCIATION</t>
  </si>
  <si>
    <t>DESOTO VILLAGE MOBILE HOME PARK</t>
  </si>
  <si>
    <t>ORANGE BLOSSOM RV PARK INC</t>
  </si>
  <si>
    <t>CRYSTAL LAKE VILLAGE</t>
  </si>
  <si>
    <t>CAMPERS HOLIDAY ASSOCIATION</t>
  </si>
  <si>
    <t>IMPERIAL ESTATES INC</t>
  </si>
  <si>
    <t>CAMP-A-WYLE CONDOMINIUM</t>
  </si>
  <si>
    <t>PINE RIDGE PARK INC</t>
  </si>
  <si>
    <t>ORANGE BLOSSOM PARK</t>
  </si>
  <si>
    <t>PARK VILLAGE HOA OF RUSKIN</t>
  </si>
  <si>
    <t>CHULA VISTA MHP</t>
  </si>
  <si>
    <t>BRIARWOOD MOBILE HOME PARK</t>
  </si>
  <si>
    <t>SPANISH MAIN RV RESORT</t>
  </si>
  <si>
    <t>RIVER PALM RV RESORT</t>
  </si>
  <si>
    <t>PARKWOOD ESTATES MOBILE HOME PARK</t>
  </si>
  <si>
    <t>SOUTHERN AIRE MOBILE HOME PARK</t>
  </si>
  <si>
    <t>NEPTUNE MOBILE VILLAGE</t>
  </si>
  <si>
    <t>HIDEAWAY PARTNERS</t>
  </si>
  <si>
    <t>EASTFIELD SLOPE CONDO</t>
  </si>
  <si>
    <t>CAX LAKESHORE VILLAS</t>
  </si>
  <si>
    <t>SETTLERS REST RV PARK</t>
  </si>
  <si>
    <t>PINES TRAILER PARK</t>
  </si>
  <si>
    <t>ERS SARASOTA</t>
  </si>
  <si>
    <t>OCALA SUN RV RESORT LLC</t>
  </si>
  <si>
    <t>DOGWOOD ACRES MHP</t>
  </si>
  <si>
    <t>COUNTRY-AIRE</t>
  </si>
  <si>
    <t>HOLIDAY SPRINGS RV PARK</t>
  </si>
  <si>
    <t>BAKER ACRES</t>
  </si>
  <si>
    <t>PILA &amp; PILA INC</t>
  </si>
  <si>
    <t>RAMBLEWOOD MOBILE HOME COMMUNITY</t>
  </si>
  <si>
    <t>TIMBER LAKE ESTATES</t>
  </si>
  <si>
    <t>LEMB</t>
  </si>
  <si>
    <t>SUNBURST RV PARK</t>
  </si>
  <si>
    <t>ARI LAND</t>
  </si>
  <si>
    <t>SOUTHERN COMFORT MOBILEHOME PARK</t>
  </si>
  <si>
    <t>RAINBOW CHASE RV RESORT</t>
  </si>
  <si>
    <t>RAINBOW RESORT</t>
  </si>
  <si>
    <t>LAKESIDE RANCH</t>
  </si>
  <si>
    <t>LA CASA DE LAKE WALES ASSOCIATION</t>
  </si>
  <si>
    <t>TWIN FOUNTAINS</t>
  </si>
  <si>
    <t>CHRISTMAS TREE TRAILER PARK</t>
  </si>
  <si>
    <t>TOWERWOOD MOBILE HOME PARK</t>
  </si>
  <si>
    <t>HIDDEN COVE LTD</t>
  </si>
  <si>
    <t>CAMP INN RESORT</t>
  </si>
  <si>
    <t>ORANGE ACRES RANCH</t>
  </si>
  <si>
    <t>DOANS MOBILE HOME PARK</t>
  </si>
  <si>
    <t>WOODLAND LAKES MHP</t>
  </si>
  <si>
    <t>GOOD LIFE RESORT INC</t>
  </si>
  <si>
    <t>FLORIDA CAMP INN</t>
  </si>
  <si>
    <t>HOLIDAY TRAVEL PARK</t>
  </si>
  <si>
    <t>WEST VILLAS INC</t>
  </si>
  <si>
    <t>JUMPER CREEK HOA</t>
  </si>
  <si>
    <t>population served.   Please follow steps 1 and 2.  Once complete, print Worksheets A-I and Submit with your PSAR</t>
  </si>
  <si>
    <t>TORREY OAKS</t>
  </si>
  <si>
    <t>LAKE BONNET VILLAGE MHP</t>
  </si>
  <si>
    <t>WOODLAND ACRES</t>
  </si>
  <si>
    <t>SUNSET MANOR</t>
  </si>
  <si>
    <t>STONEBRIDGE MHP</t>
  </si>
  <si>
    <t>UNIVERSITY CROSSING APARTMENTS</t>
  </si>
  <si>
    <t>LAND O LAKES VILLAGE APARTMENTS</t>
  </si>
  <si>
    <t>REGULAR BAPTIST FELLOWSHIP, INC.</t>
  </si>
  <si>
    <t>BAY POINTE UTILITIES,  INC.</t>
  </si>
  <si>
    <t>FALLS OF OCALA HOA</t>
  </si>
  <si>
    <t>ROBERT W MONK AND CARRIE MONK</t>
  </si>
  <si>
    <t>SUNSHINE FOUNDATION</t>
  </si>
  <si>
    <t>HANOVER JORDANS GROVE, LLC</t>
  </si>
  <si>
    <t>DESOTO COUNTY UTILITIES</t>
  </si>
  <si>
    <t>FGUA PALM TERRACE</t>
  </si>
  <si>
    <t>WILDWOOD CCC</t>
  </si>
  <si>
    <t>SUMTER_CONTINENTAL COUNTRY CLUB_WUP#_20597</t>
  </si>
  <si>
    <t>DESOTO_DESOTO COUNTY_WUP#_20457</t>
  </si>
  <si>
    <t>POLK_JORDANS GROVE_WUP#_12800</t>
  </si>
  <si>
    <t>JORDANS GROVE</t>
  </si>
  <si>
    <t>OCALA RV RESORT</t>
  </si>
  <si>
    <t>MARION_OCALA_RV_RESORT_WUP#_5746</t>
  </si>
  <si>
    <t>ORANGE BLOSSOM UTILITIES</t>
  </si>
  <si>
    <t>HUTCH HOLDINGS, LLC</t>
  </si>
  <si>
    <t>TARAWOOD UTILITIES</t>
  </si>
  <si>
    <t>JEFFERY STEWART CORP</t>
  </si>
  <si>
    <t>CASA VERDE MHC, LLC</t>
  </si>
  <si>
    <t>PLANT PROPERTIES CORORATION</t>
  </si>
  <si>
    <t>TB TAMPA BAY LLC DBA CITRUS KNOLL MHP</t>
  </si>
  <si>
    <t>KUNAL II, LLC</t>
  </si>
  <si>
    <t>MHP OCALA AIR, LLC</t>
  </si>
  <si>
    <t>HEILER FAMILY LIMITED PARTNERSHIP</t>
  </si>
  <si>
    <t>ORANGELAND UTILITIES</t>
  </si>
  <si>
    <t>PINECREST UTILITIES, LLC</t>
  </si>
  <si>
    <t>SOUTH SUMTER UTILITY COMPANY, LLC</t>
  </si>
  <si>
    <t>SOUTHERN VILLAS RV PARK</t>
  </si>
  <si>
    <t>Note: For master-metered communities, please utilize the Index A-Residential Account sheet to calculate total dwelling units served</t>
  </si>
  <si>
    <t>Use this value in PopulationServed sheet to calculation functional population</t>
  </si>
  <si>
    <t>HARDEE_HARDEE COUNTY -  WAUCHULA HILLS  PWS_WUP#_13026</t>
  </si>
  <si>
    <t>These are Worksheets A-I for Part D of the Water Use Permit Information Manual.</t>
  </si>
  <si>
    <t>Total Dwelling Units Served</t>
  </si>
  <si>
    <t>GREENBRIAR ONE OF CITRUS HILLS OWNERS ASSOCIATION INC</t>
  </si>
  <si>
    <t>GULF COAST RV RESORT</t>
  </si>
  <si>
    <t>INVERNESS PARK</t>
  </si>
  <si>
    <t>FLORIDA SKP</t>
  </si>
  <si>
    <t>ASTIN STRAWBERRY PROPERTY MANAGEMENT, LLC</t>
  </si>
  <si>
    <t>FDJJ</t>
  </si>
  <si>
    <t>HOMETOWN LITTLE MANATEE SPRINGS</t>
  </si>
  <si>
    <t>GRANDCHILDRENS SCHOOL FUN TRUST</t>
  </si>
  <si>
    <t>PINE RIDGE ESTATES</t>
  </si>
  <si>
    <t>GIBSON PLACE UTILITY COMPANY LLC</t>
  </si>
  <si>
    <t>SOUTH_SUMTER_UTILITY_COMPANY,LLC_WUP#_20721</t>
  </si>
  <si>
    <t>Average Annual Monthly Occupancy Rate (2020)</t>
  </si>
  <si>
    <t>Average Annual Monthly Occupancy Rate (2022)</t>
  </si>
  <si>
    <t>LAKE</t>
  </si>
  <si>
    <t>2022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</si>
</sst>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[&lt;0.0001]&quot;&lt;0.0001&quot;;0.0000"/>
    <numFmt numFmtId="168" formatCode="&quot;to &quot;0.0000;&quot;to &quot;\-0.0000;&quot;to 0&quot;"/>
    <numFmt numFmtId="169" formatCode="_(#,##0_);_(\-#,##0_)"/>
    <numFmt numFmtId="170" formatCode="&quot;$&quot;#,##0\ ;\(&quot;$&quot;#,##0\)"/>
    <numFmt numFmtId="171" formatCode="#,##0.000"/>
    <numFmt numFmtId="172" formatCode="m/d/yy;@"/>
    <numFmt numFmtId="173" formatCode="_(* #,##0_);_(* \(#,##0\);_(* &quot;-&quot;??_);_(@_)"/>
  </numFmts>
  <fonts count="57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</font>
    <font>
      <sz val="1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7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name val="Consolas"/>
      <family val="3"/>
    </font>
    <font>
      <b/>
      <sz val="12"/>
      <name val="Arial"/>
      <family val="2"/>
    </font>
    <font>
      <sz val="10"/>
      <color indexed="15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1"/>
      <color indexed="8"/>
      <name val="Arial"/>
      <family val="2"/>
    </font>
    <font>
      <b/>
      <sz val="16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sz val="12"/>
      <color indexed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8">
    <xf numFmtId="0" fontId="0" fillId="0" borderId="0"/>
    <xf numFmtId="165" fontId="3" fillId="0" borderId="0" applyFont="0" applyFill="0" applyBorder="0" applyProtection="0">
      <alignment horizontal="right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64" fontId="3" fillId="0" borderId="0" applyFont="0" applyFill="0" applyBorder="0" applyProtection="0">
      <alignment horizontal="right"/>
    </xf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66" fontId="3" fillId="0" borderId="0" applyFont="0" applyFill="0" applyBorder="0" applyProtection="0">
      <alignment horizontal="right"/>
    </xf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66" fontId="12" fillId="0" borderId="0" applyFont="0" applyFill="0" applyBorder="0" applyProtection="0">
      <alignment horizontal="right"/>
    </xf>
    <xf numFmtId="168" fontId="12" fillId="0" borderId="0" applyFont="0" applyFill="0" applyBorder="0" applyProtection="0">
      <alignment horizontal="left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" fillId="0" borderId="0" applyFont="0" applyFill="0" applyBorder="0" applyProtection="0">
      <alignment horizontal="right"/>
    </xf>
    <xf numFmtId="0" fontId="15" fillId="4" borderId="0" applyNumberFormat="0" applyBorder="0" applyAlignment="0" applyProtection="0"/>
    <xf numFmtId="0" fontId="16" fillId="22" borderId="3" applyProtection="0">
      <alignment horizontal="right"/>
    </xf>
    <xf numFmtId="0" fontId="17" fillId="22" borderId="0" applyProtection="0">
      <alignment horizontal="left"/>
    </xf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Fill="0" applyBorder="0" applyProtection="0">
      <alignment horizontal="left"/>
    </xf>
    <xf numFmtId="0" fontId="22" fillId="7" borderId="1" applyNumberFormat="0" applyAlignment="0" applyProtection="0"/>
    <xf numFmtId="0" fontId="16" fillId="0" borderId="7" applyProtection="0">
      <alignment horizontal="right"/>
    </xf>
    <xf numFmtId="0" fontId="16" fillId="0" borderId="3" applyProtection="0">
      <alignment horizontal="right"/>
    </xf>
    <xf numFmtId="0" fontId="16" fillId="0" borderId="8" applyProtection="0">
      <alignment horizontal="center"/>
      <protection locked="0"/>
    </xf>
    <xf numFmtId="0" fontId="23" fillId="0" borderId="9" applyNumberFormat="0" applyFill="0" applyAlignment="0" applyProtection="0"/>
    <xf numFmtId="1" fontId="3" fillId="0" borderId="0" applyFont="0" applyFill="0" applyBorder="0" applyProtection="0">
      <alignment horizontal="right"/>
    </xf>
    <xf numFmtId="0" fontId="24" fillId="23" borderId="0" applyNumberFormat="0" applyBorder="0" applyAlignment="0" applyProtection="0"/>
    <xf numFmtId="0" fontId="43" fillId="0" borderId="0"/>
    <xf numFmtId="0" fontId="35" fillId="0" borderId="0"/>
    <xf numFmtId="0" fontId="43" fillId="0" borderId="0"/>
    <xf numFmtId="0" fontId="39" fillId="0" borderId="0"/>
    <xf numFmtId="0" fontId="29" fillId="0" borderId="0"/>
    <xf numFmtId="0" fontId="43" fillId="0" borderId="0"/>
    <xf numFmtId="0" fontId="29" fillId="0" borderId="0"/>
    <xf numFmtId="0" fontId="30" fillId="0" borderId="0"/>
    <xf numFmtId="0" fontId="3" fillId="0" borderId="0"/>
    <xf numFmtId="0" fontId="31" fillId="0" borderId="0"/>
    <xf numFmtId="0" fontId="3" fillId="0" borderId="0"/>
    <xf numFmtId="0" fontId="35" fillId="0" borderId="0"/>
    <xf numFmtId="0" fontId="43" fillId="0" borderId="0"/>
    <xf numFmtId="0" fontId="43" fillId="0" borderId="0"/>
    <xf numFmtId="0" fontId="2" fillId="0" borderId="0"/>
    <xf numFmtId="0" fontId="13" fillId="24" borderId="10" applyNumberFormat="0" applyFont="0" applyAlignment="0" applyProtection="0"/>
    <xf numFmtId="0" fontId="25" fillId="20" borderId="11" applyNumberFormat="0" applyAlignment="0" applyProtection="0"/>
    <xf numFmtId="167" fontId="3" fillId="0" borderId="0" applyFont="0" applyFill="0" applyBorder="0" applyProtection="0">
      <alignment horizontal="right"/>
    </xf>
    <xf numFmtId="169" fontId="3" fillId="0" borderId="12" applyFill="0" applyAlignment="0" applyProtection="0"/>
    <xf numFmtId="169" fontId="3" fillId="0" borderId="13" applyFont="0" applyFill="0" applyAlignment="0" applyProtection="0"/>
    <xf numFmtId="0" fontId="34" fillId="25" borderId="10" applyNumberFormat="0" applyAlignment="0" applyProtection="0"/>
    <xf numFmtId="0" fontId="6" fillId="26" borderId="12" applyNumberFormat="0" applyProtection="0">
      <alignment horizontal="right"/>
    </xf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43" fontId="56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left"/>
    </xf>
    <xf numFmtId="0" fontId="2" fillId="0" borderId="15" xfId="0" applyFont="1" applyBorder="1"/>
    <xf numFmtId="1" fontId="4" fillId="27" borderId="15" xfId="0" applyNumberFormat="1" applyFont="1" applyFill="1" applyBorder="1" applyAlignment="1">
      <alignment horizontal="left"/>
    </xf>
    <xf numFmtId="0" fontId="5" fillId="0" borderId="0" xfId="63" applyFont="1"/>
    <xf numFmtId="0" fontId="43" fillId="0" borderId="0" xfId="63"/>
    <xf numFmtId="164" fontId="43" fillId="0" borderId="0" xfId="63" applyNumberFormat="1"/>
    <xf numFmtId="0" fontId="33" fillId="0" borderId="0" xfId="63" applyFont="1"/>
    <xf numFmtId="0" fontId="43" fillId="0" borderId="0" xfId="63" applyAlignment="1">
      <alignment horizontal="center"/>
    </xf>
    <xf numFmtId="0" fontId="5" fillId="0" borderId="0" xfId="63" applyFont="1" applyAlignment="1">
      <alignment horizontal="center"/>
    </xf>
    <xf numFmtId="164" fontId="5" fillId="0" borderId="0" xfId="63" applyNumberFormat="1" applyFont="1" applyAlignment="1">
      <alignment horizontal="center"/>
    </xf>
    <xf numFmtId="0" fontId="36" fillId="28" borderId="15" xfId="0" applyFont="1" applyFill="1" applyBorder="1"/>
    <xf numFmtId="3" fontId="36" fillId="28" borderId="15" xfId="0" applyNumberFormat="1" applyFont="1" applyFill="1" applyBorder="1"/>
    <xf numFmtId="0" fontId="32" fillId="0" borderId="0" xfId="69" applyFont="1"/>
    <xf numFmtId="0" fontId="35" fillId="0" borderId="0" xfId="69"/>
    <xf numFmtId="0" fontId="3" fillId="0" borderId="0" xfId="69" applyFont="1"/>
    <xf numFmtId="0" fontId="6" fillId="0" borderId="0" xfId="69" applyFont="1"/>
    <xf numFmtId="0" fontId="35" fillId="29" borderId="15" xfId="69" applyFill="1" applyBorder="1"/>
    <xf numFmtId="0" fontId="6" fillId="29" borderId="16" xfId="69" applyFont="1" applyFill="1" applyBorder="1"/>
    <xf numFmtId="0" fontId="35" fillId="0" borderId="15" xfId="69" applyBorder="1"/>
    <xf numFmtId="0" fontId="35" fillId="30" borderId="15" xfId="69" applyFill="1" applyBorder="1"/>
    <xf numFmtId="0" fontId="35" fillId="30" borderId="17" xfId="69" applyFill="1" applyBorder="1"/>
    <xf numFmtId="0" fontId="35" fillId="31" borderId="15" xfId="69" applyFill="1" applyBorder="1"/>
    <xf numFmtId="0" fontId="35" fillId="0" borderId="18" xfId="69" applyBorder="1"/>
    <xf numFmtId="0" fontId="37" fillId="0" borderId="0" xfId="69" applyFont="1"/>
    <xf numFmtId="0" fontId="6" fillId="0" borderId="0" xfId="69" quotePrefix="1" applyFont="1"/>
    <xf numFmtId="0" fontId="35" fillId="0" borderId="0" xfId="69" applyAlignment="1">
      <alignment horizontal="center"/>
    </xf>
    <xf numFmtId="0" fontId="6" fillId="32" borderId="19" xfId="69" applyFont="1" applyFill="1" applyBorder="1" applyAlignment="1">
      <alignment horizontal="center"/>
    </xf>
    <xf numFmtId="3" fontId="35" fillId="29" borderId="16" xfId="69" applyNumberFormat="1" applyFill="1" applyBorder="1" applyAlignment="1">
      <alignment horizontal="center"/>
    </xf>
    <xf numFmtId="0" fontId="35" fillId="0" borderId="0" xfId="69" quotePrefix="1"/>
    <xf numFmtId="0" fontId="3" fillId="0" borderId="0" xfId="69" applyFont="1" applyAlignment="1">
      <alignment horizontal="center"/>
    </xf>
    <xf numFmtId="3" fontId="6" fillId="29" borderId="20" xfId="69" applyNumberFormat="1" applyFont="1" applyFill="1" applyBorder="1"/>
    <xf numFmtId="0" fontId="6" fillId="0" borderId="0" xfId="69" applyFont="1" applyAlignment="1">
      <alignment horizontal="center"/>
    </xf>
    <xf numFmtId="2" fontId="35" fillId="30" borderId="17" xfId="69" applyNumberFormat="1" applyFill="1" applyBorder="1" applyAlignment="1">
      <alignment horizontal="center"/>
    </xf>
    <xf numFmtId="4" fontId="6" fillId="29" borderId="20" xfId="69" applyNumberFormat="1" applyFont="1" applyFill="1" applyBorder="1"/>
    <xf numFmtId="0" fontId="35" fillId="0" borderId="21" xfId="69" applyBorder="1" applyAlignment="1">
      <alignment horizontal="center"/>
    </xf>
    <xf numFmtId="2" fontId="35" fillId="29" borderId="16" xfId="69" applyNumberFormat="1" applyFill="1" applyBorder="1" applyAlignment="1">
      <alignment horizontal="center"/>
    </xf>
    <xf numFmtId="3" fontId="35" fillId="30" borderId="17" xfId="69" applyNumberFormat="1" applyFill="1" applyBorder="1" applyAlignment="1">
      <alignment horizontal="center"/>
    </xf>
    <xf numFmtId="0" fontId="35" fillId="29" borderId="16" xfId="69" applyFill="1" applyBorder="1" applyAlignment="1">
      <alignment horizontal="center"/>
    </xf>
    <xf numFmtId="0" fontId="35" fillId="29" borderId="16" xfId="69" applyFill="1" applyBorder="1"/>
    <xf numFmtId="164" fontId="35" fillId="30" borderId="17" xfId="69" applyNumberFormat="1" applyFill="1" applyBorder="1"/>
    <xf numFmtId="0" fontId="6" fillId="32" borderId="0" xfId="69" applyFont="1" applyFill="1" applyAlignment="1">
      <alignment horizontal="center"/>
    </xf>
    <xf numFmtId="3" fontId="3" fillId="30" borderId="17" xfId="69" applyNumberFormat="1" applyFont="1" applyFill="1" applyBorder="1"/>
    <xf numFmtId="3" fontId="3" fillId="29" borderId="16" xfId="69" applyNumberFormat="1" applyFont="1" applyFill="1" applyBorder="1"/>
    <xf numFmtId="0" fontId="38" fillId="0" borderId="0" xfId="69" applyFont="1"/>
    <xf numFmtId="3" fontId="35" fillId="30" borderId="17" xfId="69" applyNumberFormat="1" applyFill="1" applyBorder="1"/>
    <xf numFmtId="3" fontId="35" fillId="29" borderId="16" xfId="69" applyNumberFormat="1" applyFill="1" applyBorder="1"/>
    <xf numFmtId="0" fontId="32" fillId="0" borderId="0" xfId="66" applyFont="1"/>
    <xf numFmtId="0" fontId="3" fillId="0" borderId="0" xfId="66"/>
    <xf numFmtId="0" fontId="6" fillId="0" borderId="0" xfId="66" applyFont="1"/>
    <xf numFmtId="0" fontId="3" fillId="0" borderId="0" xfId="66" quotePrefix="1"/>
    <xf numFmtId="0" fontId="37" fillId="0" borderId="0" xfId="66" applyFont="1"/>
    <xf numFmtId="0" fontId="6" fillId="29" borderId="22" xfId="66" applyFont="1" applyFill="1" applyBorder="1"/>
    <xf numFmtId="0" fontId="3" fillId="29" borderId="23" xfId="66" applyFill="1" applyBorder="1"/>
    <xf numFmtId="0" fontId="3" fillId="29" borderId="24" xfId="66" applyFill="1" applyBorder="1"/>
    <xf numFmtId="0" fontId="3" fillId="29" borderId="16" xfId="66" applyFill="1" applyBorder="1"/>
    <xf numFmtId="0" fontId="6" fillId="30" borderId="25" xfId="66" applyFont="1" applyFill="1" applyBorder="1"/>
    <xf numFmtId="0" fontId="3" fillId="30" borderId="26" xfId="66" applyFill="1" applyBorder="1"/>
    <xf numFmtId="0" fontId="3" fillId="30" borderId="27" xfId="66" applyFill="1" applyBorder="1"/>
    <xf numFmtId="0" fontId="3" fillId="30" borderId="17" xfId="66" applyFill="1" applyBorder="1"/>
    <xf numFmtId="0" fontId="37" fillId="0" borderId="0" xfId="66" quotePrefix="1" applyFont="1" applyAlignment="1">
      <alignment horizontal="center"/>
    </xf>
    <xf numFmtId="3" fontId="3" fillId="29" borderId="16" xfId="66" applyNumberFormat="1" applyFill="1" applyBorder="1"/>
    <xf numFmtId="0" fontId="3" fillId="0" borderId="0" xfId="66" applyAlignment="1">
      <alignment horizontal="center"/>
    </xf>
    <xf numFmtId="0" fontId="6" fillId="0" borderId="0" xfId="66" applyFont="1" applyAlignment="1">
      <alignment horizontal="center"/>
    </xf>
    <xf numFmtId="0" fontId="6" fillId="0" borderId="0" xfId="66" quotePrefix="1" applyFont="1" applyAlignment="1">
      <alignment horizontal="center"/>
    </xf>
    <xf numFmtId="0" fontId="3" fillId="30" borderId="25" xfId="66" applyFill="1" applyBorder="1"/>
    <xf numFmtId="3" fontId="3" fillId="30" borderId="17" xfId="66" applyNumberFormat="1" applyFill="1" applyBorder="1"/>
    <xf numFmtId="3" fontId="4" fillId="27" borderId="15" xfId="0" applyNumberFormat="1" applyFont="1" applyFill="1" applyBorder="1" applyAlignment="1">
      <alignment horizontal="left"/>
    </xf>
    <xf numFmtId="0" fontId="5" fillId="0" borderId="0" xfId="0" applyFont="1"/>
    <xf numFmtId="164" fontId="0" fillId="0" borderId="0" xfId="0" applyNumberFormat="1"/>
    <xf numFmtId="0" fontId="32" fillId="0" borderId="0" xfId="61" applyFont="1"/>
    <xf numFmtId="0" fontId="39" fillId="0" borderId="0" xfId="61"/>
    <xf numFmtId="0" fontId="6" fillId="0" borderId="0" xfId="61" applyFont="1"/>
    <xf numFmtId="0" fontId="39" fillId="0" borderId="0" xfId="61" applyAlignment="1">
      <alignment horizontal="center"/>
    </xf>
    <xf numFmtId="0" fontId="6" fillId="29" borderId="28" xfId="61" applyFont="1" applyFill="1" applyBorder="1"/>
    <xf numFmtId="0" fontId="39" fillId="29" borderId="29" xfId="61" applyFill="1" applyBorder="1"/>
    <xf numFmtId="0" fontId="39" fillId="29" borderId="30" xfId="61" applyFill="1" applyBorder="1"/>
    <xf numFmtId="0" fontId="39" fillId="29" borderId="16" xfId="61" applyFill="1" applyBorder="1"/>
    <xf numFmtId="0" fontId="6" fillId="30" borderId="31" xfId="61" applyFont="1" applyFill="1" applyBorder="1"/>
    <xf numFmtId="0" fontId="39" fillId="30" borderId="26" xfId="61" applyFill="1" applyBorder="1"/>
    <xf numFmtId="0" fontId="39" fillId="30" borderId="27" xfId="61" applyFill="1" applyBorder="1"/>
    <xf numFmtId="0" fontId="39" fillId="30" borderId="17" xfId="61" applyFill="1" applyBorder="1"/>
    <xf numFmtId="0" fontId="37" fillId="0" borderId="0" xfId="61" applyFont="1"/>
    <xf numFmtId="0" fontId="6" fillId="0" borderId="0" xfId="61" applyFont="1" applyAlignment="1">
      <alignment horizontal="center"/>
    </xf>
    <xf numFmtId="0" fontId="3" fillId="0" borderId="0" xfId="61" applyFont="1"/>
    <xf numFmtId="0" fontId="39" fillId="29" borderId="32" xfId="61" applyFill="1" applyBorder="1"/>
    <xf numFmtId="0" fontId="39" fillId="30" borderId="25" xfId="61" applyFill="1" applyBorder="1"/>
    <xf numFmtId="0" fontId="6" fillId="29" borderId="32" xfId="61" applyFont="1" applyFill="1" applyBorder="1"/>
    <xf numFmtId="0" fontId="6" fillId="29" borderId="33" xfId="61" applyFont="1" applyFill="1" applyBorder="1"/>
    <xf numFmtId="0" fontId="39" fillId="29" borderId="33" xfId="61" applyFill="1" applyBorder="1"/>
    <xf numFmtId="0" fontId="6" fillId="30" borderId="26" xfId="61" applyFont="1" applyFill="1" applyBorder="1"/>
    <xf numFmtId="0" fontId="40" fillId="0" borderId="34" xfId="61" applyFont="1" applyBorder="1"/>
    <xf numFmtId="0" fontId="40" fillId="0" borderId="35" xfId="61" applyFont="1" applyBorder="1" applyAlignment="1">
      <alignment horizontal="center"/>
    </xf>
    <xf numFmtId="0" fontId="3" fillId="0" borderId="36" xfId="61" applyFont="1" applyBorder="1" applyAlignment="1">
      <alignment horizontal="center"/>
    </xf>
    <xf numFmtId="0" fontId="3" fillId="0" borderId="37" xfId="61" applyFont="1" applyBorder="1" applyAlignment="1">
      <alignment horizontal="center"/>
    </xf>
    <xf numFmtId="0" fontId="40" fillId="0" borderId="37" xfId="61" applyFont="1" applyBorder="1"/>
    <xf numFmtId="0" fontId="40" fillId="0" borderId="36" xfId="61" applyFont="1" applyBorder="1" applyAlignment="1">
      <alignment horizontal="center"/>
    </xf>
    <xf numFmtId="0" fontId="40" fillId="0" borderId="0" xfId="61" applyFont="1" applyAlignment="1">
      <alignment horizontal="center"/>
    </xf>
    <xf numFmtId="0" fontId="40" fillId="0" borderId="0" xfId="61" applyFont="1"/>
    <xf numFmtId="0" fontId="37" fillId="0" borderId="0" xfId="61" applyFont="1" applyAlignment="1">
      <alignment horizontal="center"/>
    </xf>
    <xf numFmtId="0" fontId="5" fillId="0" borderId="0" xfId="61" applyFont="1"/>
    <xf numFmtId="3" fontId="39" fillId="30" borderId="17" xfId="61" applyNumberFormat="1" applyFill="1" applyBorder="1"/>
    <xf numFmtId="10" fontId="39" fillId="30" borderId="17" xfId="61" applyNumberFormat="1" applyFill="1" applyBorder="1"/>
    <xf numFmtId="1" fontId="39" fillId="30" borderId="17" xfId="61" applyNumberFormat="1" applyFill="1" applyBorder="1"/>
    <xf numFmtId="2" fontId="39" fillId="30" borderId="17" xfId="61" applyNumberFormat="1" applyFill="1" applyBorder="1"/>
    <xf numFmtId="0" fontId="2" fillId="0" borderId="0" xfId="0" applyFont="1"/>
    <xf numFmtId="0" fontId="6" fillId="32" borderId="19" xfId="69" applyFont="1" applyFill="1" applyBorder="1" applyAlignment="1">
      <alignment horizontal="right"/>
    </xf>
    <xf numFmtId="3" fontId="35" fillId="0" borderId="0" xfId="69" applyNumberFormat="1" applyAlignment="1">
      <alignment horizontal="center"/>
    </xf>
    <xf numFmtId="0" fontId="6" fillId="0" borderId="0" xfId="69" applyFont="1" applyAlignment="1">
      <alignment horizontal="right"/>
    </xf>
    <xf numFmtId="0" fontId="6" fillId="32" borderId="15" xfId="69" applyFont="1" applyFill="1" applyBorder="1" applyAlignment="1">
      <alignment horizontal="left"/>
    </xf>
    <xf numFmtId="0" fontId="44" fillId="0" borderId="0" xfId="0" applyFont="1"/>
    <xf numFmtId="0" fontId="45" fillId="0" borderId="0" xfId="0" applyFont="1"/>
    <xf numFmtId="0" fontId="0" fillId="0" borderId="15" xfId="0" applyBorder="1"/>
    <xf numFmtId="3" fontId="0" fillId="0" borderId="15" xfId="0" applyNumberFormat="1" applyBorder="1"/>
    <xf numFmtId="4" fontId="36" fillId="28" borderId="15" xfId="0" applyNumberFormat="1" applyFont="1" applyFill="1" applyBorder="1"/>
    <xf numFmtId="171" fontId="36" fillId="28" borderId="15" xfId="0" applyNumberFormat="1" applyFont="1" applyFill="1" applyBorder="1"/>
    <xf numFmtId="15" fontId="33" fillId="0" borderId="0" xfId="63" quotePrefix="1" applyNumberFormat="1" applyFont="1"/>
    <xf numFmtId="164" fontId="2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2" fillId="0" borderId="0" xfId="66" applyFont="1"/>
    <xf numFmtId="3" fontId="2" fillId="0" borderId="0" xfId="66" applyNumberFormat="1" applyFont="1"/>
    <xf numFmtId="172" fontId="46" fillId="0" borderId="0" xfId="83" applyNumberFormat="1" applyFont="1"/>
    <xf numFmtId="172" fontId="46" fillId="0" borderId="0" xfId="83" applyNumberFormat="1" applyFont="1" applyAlignment="1">
      <alignment horizontal="center"/>
    </xf>
    <xf numFmtId="14" fontId="46" fillId="0" borderId="0" xfId="83" applyNumberFormat="1" applyFont="1"/>
    <xf numFmtId="0" fontId="4" fillId="27" borderId="40" xfId="66" applyFont="1" applyFill="1" applyBorder="1" applyAlignment="1">
      <alignment horizontal="left"/>
    </xf>
    <xf numFmtId="0" fontId="4" fillId="27" borderId="41" xfId="66" applyFont="1" applyFill="1" applyBorder="1" applyAlignment="1">
      <alignment horizontal="left"/>
    </xf>
    <xf numFmtId="1" fontId="4" fillId="27" borderId="41" xfId="66" applyNumberFormat="1" applyFont="1" applyFill="1" applyBorder="1" applyAlignment="1">
      <alignment horizontal="left"/>
    </xf>
    <xf numFmtId="0" fontId="2" fillId="0" borderId="0" xfId="66" applyFont="1" applyAlignment="1">
      <alignment horizontal="left"/>
    </xf>
    <xf numFmtId="0" fontId="47" fillId="0" borderId="15" xfId="66" applyFont="1" applyBorder="1"/>
    <xf numFmtId="0" fontId="47" fillId="0" borderId="42" xfId="66" applyFont="1" applyBorder="1"/>
    <xf numFmtId="3" fontId="47" fillId="0" borderId="42" xfId="66" applyNumberFormat="1" applyFont="1" applyBorder="1"/>
    <xf numFmtId="0" fontId="2" fillId="0" borderId="15" xfId="66" applyFont="1" applyBorder="1"/>
    <xf numFmtId="0" fontId="2" fillId="0" borderId="42" xfId="66" applyFont="1" applyBorder="1"/>
    <xf numFmtId="3" fontId="2" fillId="0" borderId="42" xfId="66" applyNumberFormat="1" applyFont="1" applyBorder="1"/>
    <xf numFmtId="0" fontId="48" fillId="0" borderId="0" xfId="83" applyFont="1"/>
    <xf numFmtId="0" fontId="48" fillId="0" borderId="0" xfId="83" applyFont="1" applyAlignment="1">
      <alignment horizontal="center"/>
    </xf>
    <xf numFmtId="0" fontId="48" fillId="0" borderId="43" xfId="83" applyFont="1" applyBorder="1" applyAlignment="1">
      <alignment horizontal="center"/>
    </xf>
    <xf numFmtId="0" fontId="49" fillId="0" borderId="0" xfId="84" applyFont="1" applyAlignment="1">
      <alignment horizontal="center"/>
    </xf>
    <xf numFmtId="3" fontId="49" fillId="0" borderId="0" xfId="84" applyNumberFormat="1" applyFont="1" applyAlignment="1">
      <alignment horizontal="center"/>
    </xf>
    <xf numFmtId="1" fontId="49" fillId="0" borderId="0" xfId="84" applyNumberFormat="1" applyFont="1" applyAlignment="1">
      <alignment horizontal="center"/>
    </xf>
    <xf numFmtId="0" fontId="40" fillId="0" borderId="0" xfId="85" applyFont="1" applyAlignment="1">
      <alignment horizontal="left"/>
    </xf>
    <xf numFmtId="0" fontId="40" fillId="0" borderId="0" xfId="85" applyFont="1" applyAlignment="1">
      <alignment horizontal="center"/>
    </xf>
    <xf numFmtId="3" fontId="40" fillId="0" borderId="0" xfId="0" applyNumberFormat="1" applyFont="1"/>
    <xf numFmtId="3" fontId="0" fillId="0" borderId="0" xfId="0" applyNumberFormat="1"/>
    <xf numFmtId="0" fontId="50" fillId="0" borderId="0" xfId="83" applyFont="1"/>
    <xf numFmtId="0" fontId="50" fillId="0" borderId="0" xfId="83" applyFont="1" applyAlignment="1">
      <alignment horizontal="center"/>
    </xf>
    <xf numFmtId="0" fontId="50" fillId="0" borderId="0" xfId="83" applyFont="1" applyAlignment="1">
      <alignment horizontal="left"/>
    </xf>
    <xf numFmtId="3" fontId="2" fillId="0" borderId="0" xfId="0" applyNumberFormat="1" applyFont="1"/>
    <xf numFmtId="0" fontId="51" fillId="0" borderId="0" xfId="85" applyFont="1" applyAlignment="1">
      <alignment horizontal="left"/>
    </xf>
    <xf numFmtId="0" fontId="3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5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" fontId="0" fillId="0" borderId="0" xfId="0" applyNumberFormat="1"/>
    <xf numFmtId="0" fontId="1" fillId="0" borderId="0" xfId="86"/>
    <xf numFmtId="0" fontId="2" fillId="0" borderId="15" xfId="0" applyFont="1" applyBorder="1" applyAlignment="1">
      <alignment horizontal="center" vertical="center" wrapText="1"/>
    </xf>
    <xf numFmtId="173" fontId="47" fillId="0" borderId="42" xfId="66" applyNumberFormat="1" applyFont="1" applyBorder="1"/>
    <xf numFmtId="0" fontId="2" fillId="33" borderId="15" xfId="66" applyFont="1" applyFill="1" applyBorder="1"/>
    <xf numFmtId="0" fontId="54" fillId="0" borderId="0" xfId="0" applyFont="1"/>
    <xf numFmtId="0" fontId="55" fillId="0" borderId="0" xfId="66" applyFont="1"/>
    <xf numFmtId="173" fontId="2" fillId="0" borderId="0" xfId="87" applyNumberFormat="1" applyFont="1" applyFill="1" applyBorder="1"/>
    <xf numFmtId="0" fontId="47" fillId="0" borderId="0" xfId="66" applyFont="1"/>
    <xf numFmtId="14" fontId="33" fillId="0" borderId="0" xfId="0" quotePrefix="1" applyNumberFormat="1" applyFont="1"/>
    <xf numFmtId="14" fontId="44" fillId="0" borderId="0" xfId="0" applyNumberFormat="1" applyFont="1"/>
    <xf numFmtId="0" fontId="44" fillId="0" borderId="0" xfId="0" applyFont="1"/>
    <xf numFmtId="0" fontId="39" fillId="0" borderId="0" xfId="61" applyAlignment="1">
      <alignment horizontal="center"/>
    </xf>
    <xf numFmtId="0" fontId="6" fillId="0" borderId="0" xfId="61" applyFont="1" applyAlignment="1">
      <alignment horizontal="center"/>
    </xf>
    <xf numFmtId="0" fontId="39" fillId="29" borderId="32" xfId="61" applyFill="1" applyBorder="1" applyAlignment="1">
      <alignment horizontal="center"/>
    </xf>
    <xf numFmtId="0" fontId="39" fillId="29" borderId="33" xfId="61" applyFill="1" applyBorder="1" applyAlignment="1">
      <alignment horizontal="center"/>
    </xf>
    <xf numFmtId="0" fontId="39" fillId="29" borderId="38" xfId="61" applyFill="1" applyBorder="1" applyAlignment="1">
      <alignment horizontal="center"/>
    </xf>
    <xf numFmtId="0" fontId="40" fillId="0" borderId="34" xfId="61" applyFont="1" applyBorder="1" applyAlignment="1">
      <alignment horizontal="center"/>
    </xf>
    <xf numFmtId="0" fontId="40" fillId="0" borderId="39" xfId="61" applyFont="1" applyBorder="1" applyAlignment="1">
      <alignment horizontal="center"/>
    </xf>
  </cellXfs>
  <cellStyles count="88">
    <cellStyle name="1dp" xfId="1" xr:uid="{00000000-0005-0000-0000-000000000000}"/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3dp" xfId="8" xr:uid="{00000000-0005-0000-0000-000007000000}"/>
    <cellStyle name="40% - Accent1" xfId="9" builtinId="31" customBuiltin="1"/>
    <cellStyle name="40% - Accent2" xfId="10" builtinId="35" customBuiltin="1"/>
    <cellStyle name="40% - Accent3" xfId="11" builtinId="39" customBuiltin="1"/>
    <cellStyle name="40% - Accent4" xfId="12" builtinId="43" customBuiltin="1"/>
    <cellStyle name="40% - Accent5" xfId="13" builtinId="47" customBuiltin="1"/>
    <cellStyle name="40% - Accent6" xfId="14" builtinId="51" customBuiltin="1"/>
    <cellStyle name="4dp" xfId="15" xr:uid="{00000000-0005-0000-0000-00000E000000}"/>
    <cellStyle name="60% - Accent1" xfId="16" builtinId="32" customBuiltin="1"/>
    <cellStyle name="60% - Accent2" xfId="17" builtinId="36" customBuiltin="1"/>
    <cellStyle name="60% - Accent3" xfId="18" builtinId="40" customBuiltin="1"/>
    <cellStyle name="60% - Accent4" xfId="19" builtinId="44" customBuiltin="1"/>
    <cellStyle name="60% - Accent5" xfId="20" builtinId="48" customBuiltin="1"/>
    <cellStyle name="60% - Accent6" xfId="21" builtinId="52" customBuiltin="1"/>
    <cellStyle name="Accent1" xfId="22" builtinId="29" customBuiltin="1"/>
    <cellStyle name="Accent2" xfId="23" builtinId="33" customBuiltin="1"/>
    <cellStyle name="Accent3" xfId="24" builtinId="37" customBuiltin="1"/>
    <cellStyle name="Accent4" xfId="25" builtinId="41" customBuiltin="1"/>
    <cellStyle name="Accent5" xfId="26" builtinId="45" customBuiltin="1"/>
    <cellStyle name="Accent6" xfId="27" builtinId="49" customBuiltin="1"/>
    <cellStyle name="Bad" xfId="28" builtinId="27" customBuiltin="1"/>
    <cellStyle name="Calculation" xfId="29" builtinId="22" customBuiltin="1"/>
    <cellStyle name="Check Cell" xfId="30" builtinId="23" customBuiltin="1"/>
    <cellStyle name="CIL" xfId="31" xr:uid="{00000000-0005-0000-0000-00001E000000}"/>
    <cellStyle name="CIU" xfId="32" xr:uid="{00000000-0005-0000-0000-00001F000000}"/>
    <cellStyle name="Comma" xfId="87" builtinId="3"/>
    <cellStyle name="Comma 2" xfId="33" xr:uid="{00000000-0005-0000-0000-000020000000}"/>
    <cellStyle name="Comma 3" xfId="34" xr:uid="{00000000-0005-0000-0000-000021000000}"/>
    <cellStyle name="Comma 4" xfId="35" xr:uid="{00000000-0005-0000-0000-000022000000}"/>
    <cellStyle name="Comma 5" xfId="36" xr:uid="{00000000-0005-0000-0000-000023000000}"/>
    <cellStyle name="Comma0" xfId="37" xr:uid="{00000000-0005-0000-0000-000024000000}"/>
    <cellStyle name="Currency0" xfId="38" xr:uid="{00000000-0005-0000-0000-000025000000}"/>
    <cellStyle name="Date" xfId="39" xr:uid="{00000000-0005-0000-0000-000026000000}"/>
    <cellStyle name="Explanatory Text" xfId="40" builtinId="53" customBuiltin="1"/>
    <cellStyle name="Fixed" xfId="41" xr:uid="{00000000-0005-0000-0000-000028000000}"/>
    <cellStyle name="General" xfId="42" xr:uid="{00000000-0005-0000-0000-000029000000}"/>
    <cellStyle name="Good" xfId="43" builtinId="26" customBuiltin="1"/>
    <cellStyle name="HeaderLabel" xfId="44" xr:uid="{00000000-0005-0000-0000-00002B000000}"/>
    <cellStyle name="HeaderText" xfId="45" xr:uid="{00000000-0005-0000-0000-00002C000000}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formation" xfId="50" xr:uid="{00000000-0005-0000-0000-000031000000}"/>
    <cellStyle name="Input" xfId="51" builtinId="20" customBuiltin="1"/>
    <cellStyle name="LabelIntersect" xfId="52" xr:uid="{00000000-0005-0000-0000-000033000000}"/>
    <cellStyle name="LabelLeft" xfId="53" xr:uid="{00000000-0005-0000-0000-000034000000}"/>
    <cellStyle name="LabelTop" xfId="54" xr:uid="{00000000-0005-0000-0000-000035000000}"/>
    <cellStyle name="Linked Cell" xfId="55" builtinId="24" customBuiltin="1"/>
    <cellStyle name="N" xfId="56" xr:uid="{00000000-0005-0000-0000-000037000000}"/>
    <cellStyle name="Neutral" xfId="57" builtinId="28" customBuiltin="1"/>
    <cellStyle name="Normal" xfId="0" builtinId="0"/>
    <cellStyle name="Normal 10" xfId="58" xr:uid="{00000000-0005-0000-0000-00003A000000}"/>
    <cellStyle name="Normal 11" xfId="59" xr:uid="{00000000-0005-0000-0000-00003B000000}"/>
    <cellStyle name="Normal 11 2" xfId="84" xr:uid="{00000000-0005-0000-0000-00003C000000}"/>
    <cellStyle name="Normal 12" xfId="60" xr:uid="{00000000-0005-0000-0000-00003D000000}"/>
    <cellStyle name="Normal 13" xfId="61" xr:uid="{00000000-0005-0000-0000-00003E000000}"/>
    <cellStyle name="Normal 14" xfId="86" xr:uid="{00000000-0005-0000-0000-00003F000000}"/>
    <cellStyle name="Normal 2" xfId="62" xr:uid="{00000000-0005-0000-0000-000040000000}"/>
    <cellStyle name="Normal 2 2" xfId="63" xr:uid="{00000000-0005-0000-0000-000041000000}"/>
    <cellStyle name="Normal 2 4" xfId="83" xr:uid="{00000000-0005-0000-0000-000042000000}"/>
    <cellStyle name="Normal 3" xfId="64" xr:uid="{00000000-0005-0000-0000-000043000000}"/>
    <cellStyle name="Normal 3 2" xfId="85" xr:uid="{00000000-0005-0000-0000-000044000000}"/>
    <cellStyle name="Normal 4" xfId="65" xr:uid="{00000000-0005-0000-0000-000045000000}"/>
    <cellStyle name="Normal 5" xfId="66" xr:uid="{00000000-0005-0000-0000-000046000000}"/>
    <cellStyle name="Normal 6" xfId="67" xr:uid="{00000000-0005-0000-0000-000047000000}"/>
    <cellStyle name="Normal 6 2" xfId="68" xr:uid="{00000000-0005-0000-0000-000048000000}"/>
    <cellStyle name="Normal 6 3" xfId="69" xr:uid="{00000000-0005-0000-0000-000049000000}"/>
    <cellStyle name="Normal 7" xfId="70" xr:uid="{00000000-0005-0000-0000-00004A000000}"/>
    <cellStyle name="Normal 8" xfId="71" xr:uid="{00000000-0005-0000-0000-00004B000000}"/>
    <cellStyle name="Normal 9" xfId="72" xr:uid="{00000000-0005-0000-0000-00004C000000}"/>
    <cellStyle name="Note" xfId="73" builtinId="10" customBuiltin="1"/>
    <cellStyle name="Output" xfId="74" builtinId="21" customBuiltin="1"/>
    <cellStyle name="P" xfId="75" xr:uid="{00000000-0005-0000-0000-00004F000000}"/>
    <cellStyle name="Style 383" xfId="76" xr:uid="{00000000-0005-0000-0000-000051000000}"/>
    <cellStyle name="Style 384" xfId="77" xr:uid="{00000000-0005-0000-0000-000052000000}"/>
    <cellStyle name="Style 695" xfId="78" xr:uid="{00000000-0005-0000-0000-000053000000}"/>
    <cellStyle name="Style 698" xfId="79" xr:uid="{00000000-0005-0000-0000-000054000000}"/>
    <cellStyle name="Title" xfId="80" builtinId="15" customBuiltin="1"/>
    <cellStyle name="Total" xfId="81" builtinId="25" customBuiltin="1"/>
    <cellStyle name="Warning Text" xfId="82" builtinId="11" customBuiltin="1"/>
  </cellStyles>
  <dxfs count="45">
    <dxf>
      <fill>
        <patternFill>
          <bgColor rgb="FFC0C0C0"/>
        </patternFill>
      </fill>
    </dxf>
    <dxf>
      <fill>
        <patternFill>
          <bgColor rgb="FFC0C0C0"/>
        </patternFill>
      </fill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6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6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6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6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6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6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PopulationServed!$A$30</c:f>
              <c:strCache>
                <c:ptCount val="1"/>
                <c:pt idx="0">
                  <c:v>Total Dwellings Units Served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PopulationServed!$A$31:$E$31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PopulationServed!$A$32:$E$32</c:f>
              <c:numCache>
                <c:formatCode>#,##0</c:formatCode>
                <c:ptCount val="5"/>
                <c:pt idx="0">
                  <c:v>1988</c:v>
                </c:pt>
                <c:pt idx="1">
                  <c:v>1990</c:v>
                </c:pt>
                <c:pt idx="2">
                  <c:v>2003</c:v>
                </c:pt>
                <c:pt idx="3">
                  <c:v>2013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B-47A1-8DC2-F2933019E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014104"/>
        <c:axId val="675014888"/>
      </c:barChart>
      <c:catAx>
        <c:axId val="675014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5014888"/>
        <c:crosses val="autoZero"/>
        <c:auto val="1"/>
        <c:lblAlgn val="ctr"/>
        <c:lblOffset val="100"/>
        <c:noMultiLvlLbl val="0"/>
      </c:catAx>
      <c:valAx>
        <c:axId val="675014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75014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PopulationServed!$A$51</c:f>
              <c:strCache>
                <c:ptCount val="1"/>
                <c:pt idx="0">
                  <c:v>Population Served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PopulationServed!$A$31:$E$31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PopulationServed!$A$53:$E$53</c:f>
              <c:numCache>
                <c:formatCode>#,##0</c:formatCode>
                <c:ptCount val="5"/>
                <c:pt idx="0">
                  <c:v>6092</c:v>
                </c:pt>
                <c:pt idx="1">
                  <c:v>6143</c:v>
                </c:pt>
                <c:pt idx="2">
                  <c:v>6150</c:v>
                </c:pt>
                <c:pt idx="3">
                  <c:v>6254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B-435E-8258-BF8A0C97B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973904"/>
        <c:axId val="607974296"/>
      </c:barChart>
      <c:catAx>
        <c:axId val="60797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7974296"/>
        <c:crosses val="autoZero"/>
        <c:auto val="1"/>
        <c:lblAlgn val="ctr"/>
        <c:lblOffset val="100"/>
        <c:noMultiLvlLbl val="0"/>
      </c:catAx>
      <c:valAx>
        <c:axId val="607974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0797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trlProps/ctrlProp1.xml><?xml version="1.0" encoding="utf-8"?>
<formControlPr xmlns="http://schemas.microsoft.com/office/spreadsheetml/2009/9/main" objectType="Drop" dropLines="15" dropStyle="combo" dx="20" fmlaLink="$I$1" fmlaRange="'REQPOP 2022'!$B$7:$B$230" noThreeD="1" sel="1" val="0"/>
</file>

<file path=xl/ctrlProps/ctrlProp2.xml><?xml version="1.0" encoding="utf-8"?>
<formControlPr xmlns="http://schemas.microsoft.com/office/spreadsheetml/2009/9/main" objectType="Drop" dropLines="12" dropStyle="combo" dx="20" fmlaLink="$M$2" fmlaRange="'REQPOP 2022'!$B$7:$B$230" noThreeD="1" sel="0" val="176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32</xdr:row>
      <xdr:rowOff>137160</xdr:rowOff>
    </xdr:from>
    <xdr:to>
      <xdr:col>6</xdr:col>
      <xdr:colOff>449580</xdr:colOff>
      <xdr:row>47</xdr:row>
      <xdr:rowOff>167640</xdr:rowOff>
    </xdr:to>
    <xdr:graphicFrame macro="">
      <xdr:nvGraphicFramePr>
        <xdr:cNvPr id="65540" name="Chart 2">
          <a:extLst>
            <a:ext uri="{FF2B5EF4-FFF2-40B4-BE49-F238E27FC236}">
              <a16:creationId xmlns:a16="http://schemas.microsoft.com/office/drawing/2014/main" id="{00000000-0008-0000-0000-0000040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434340</xdr:colOff>
      <xdr:row>70</xdr:row>
      <xdr:rowOff>30480</xdr:rowOff>
    </xdr:to>
    <xdr:graphicFrame macro="">
      <xdr:nvGraphicFramePr>
        <xdr:cNvPr id="65541" name="Chart 3">
          <a:extLst>
            <a:ext uri="{FF2B5EF4-FFF2-40B4-BE49-F238E27FC236}">
              <a16:creationId xmlns:a16="http://schemas.microsoft.com/office/drawing/2014/main" id="{00000000-0008-0000-0000-0000050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38100</xdr:rowOff>
        </xdr:from>
        <xdr:to>
          <xdr:col>8</xdr:col>
          <xdr:colOff>638175</xdr:colOff>
          <xdr:row>8</xdr:row>
          <xdr:rowOff>47625</xdr:rowOff>
        </xdr:to>
        <xdr:sp macro="" textlink="">
          <xdr:nvSpPr>
            <xdr:cNvPr id="65537" name="Drop Down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0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16</xdr:col>
          <xdr:colOff>152400</xdr:colOff>
          <xdr:row>1</xdr:row>
          <xdr:rowOff>0</xdr:rowOff>
        </xdr:to>
        <xdr:sp macro="" textlink="">
          <xdr:nvSpPr>
            <xdr:cNvPr id="64513" name="Drop Down 1" hidden="1">
              <a:extLst>
                <a:ext uri="{63B3BB69-23CF-44E3-9099-C40C66FF867C}">
                  <a14:compatExt spid="_x0000_s64513"/>
                </a:ext>
                <a:ext uri="{FF2B5EF4-FFF2-40B4-BE49-F238E27FC236}">
                  <a16:creationId xmlns:a16="http://schemas.microsoft.com/office/drawing/2014/main" id="{00000000-0008-0000-01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112058</xdr:colOff>
      <xdr:row>54</xdr:row>
      <xdr:rowOff>22413</xdr:rowOff>
    </xdr:from>
    <xdr:to>
      <xdr:col>12</xdr:col>
      <xdr:colOff>582705</xdr:colOff>
      <xdr:row>54</xdr:row>
      <xdr:rowOff>156883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6510617" y="9424148"/>
          <a:ext cx="470647" cy="134470"/>
        </a:xfrm>
        <a:prstGeom prst="leftArrow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Files\Public%20Supply%20Annual%20Report\2012\2012_PSAR_Data_En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_2012"/>
      <sheetName val="A-2_2012"/>
      <sheetName val="Table_E1_2012"/>
      <sheetName val="A-3_2012"/>
      <sheetName val="WaterLossAudit"/>
      <sheetName val="WaterLossAuditQuestions"/>
      <sheetName val="PSAR_PARTs_AB"/>
      <sheetName val="PS_SERVICEAREAS_INFO"/>
      <sheetName val="EvaluationChecklist"/>
      <sheetName val="Form_Feed"/>
      <sheetName val="Corrections_Print_Attach_PSAR"/>
      <sheetName val="PopulationWorksheets"/>
      <sheetName val="COUNTY_PERMPPH"/>
      <sheetName val="REQPOP 2012"/>
      <sheetName val="2010 Census Variables"/>
      <sheetName val="Total_DU_from_2001"/>
      <sheetName val="PSLST_PMP"/>
      <sheetName val="112912_PSSA_Rooms"/>
      <sheetName val="Occ Rates 19982011"/>
      <sheetName val="Gross_Use_20012011"/>
      <sheetName val="Population_20012011"/>
      <sheetName val="A-1_121012"/>
      <sheetName val="A-2_121012"/>
      <sheetName val="Unadjusted Gross Per Capitas"/>
      <sheetName val="Old FormatDwellings_01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R5">
            <v>1946</v>
          </cell>
          <cell r="GM5">
            <v>1940</v>
          </cell>
          <cell r="GN5">
            <v>1938</v>
          </cell>
          <cell r="GO5">
            <v>1943</v>
          </cell>
          <cell r="GP5">
            <v>1941</v>
          </cell>
        </row>
        <row r="6">
          <cell r="AR6">
            <v>17807</v>
          </cell>
          <cell r="GM6">
            <v>17557</v>
          </cell>
          <cell r="GN6">
            <v>17593</v>
          </cell>
          <cell r="GO6">
            <v>17593</v>
          </cell>
          <cell r="GP6">
            <v>17512</v>
          </cell>
        </row>
        <row r="7">
          <cell r="AR7">
            <v>2129</v>
          </cell>
          <cell r="GM7">
            <v>2094</v>
          </cell>
          <cell r="GN7">
            <v>2096</v>
          </cell>
          <cell r="GO7">
            <v>2099</v>
          </cell>
          <cell r="GP7">
            <v>2099</v>
          </cell>
        </row>
        <row r="8">
          <cell r="AR8">
            <v>3196</v>
          </cell>
          <cell r="GM8">
            <v>2880</v>
          </cell>
          <cell r="GN8">
            <v>3019</v>
          </cell>
          <cell r="GO8">
            <v>3144</v>
          </cell>
          <cell r="GP8">
            <v>3148</v>
          </cell>
        </row>
        <row r="9">
          <cell r="AR9">
            <v>58316</v>
          </cell>
          <cell r="GM9">
            <v>59146</v>
          </cell>
          <cell r="GN9">
            <v>59137</v>
          </cell>
          <cell r="GO9">
            <v>57911</v>
          </cell>
          <cell r="GP9">
            <v>57473</v>
          </cell>
        </row>
        <row r="10">
          <cell r="AR10">
            <v>319</v>
          </cell>
          <cell r="GM10">
            <v>0</v>
          </cell>
          <cell r="GN10">
            <v>0</v>
          </cell>
          <cell r="GO10">
            <v>235</v>
          </cell>
          <cell r="GP10">
            <v>235</v>
          </cell>
        </row>
        <row r="11">
          <cell r="AR11">
            <v>2560</v>
          </cell>
          <cell r="GM11">
            <v>2405</v>
          </cell>
          <cell r="GN11">
            <v>2376</v>
          </cell>
          <cell r="GO11">
            <v>2433</v>
          </cell>
          <cell r="GP11">
            <v>2508</v>
          </cell>
        </row>
        <row r="12">
          <cell r="AR12">
            <v>4161</v>
          </cell>
          <cell r="GM12">
            <v>0</v>
          </cell>
          <cell r="GN12">
            <v>0</v>
          </cell>
          <cell r="GO12">
            <v>0</v>
          </cell>
          <cell r="GP12">
            <v>4179</v>
          </cell>
        </row>
        <row r="13">
          <cell r="AR13">
            <v>2218</v>
          </cell>
          <cell r="GM13">
            <v>2229</v>
          </cell>
          <cell r="GN13">
            <v>2128</v>
          </cell>
          <cell r="GO13">
            <v>2116</v>
          </cell>
          <cell r="GP13">
            <v>2223</v>
          </cell>
        </row>
        <row r="14">
          <cell r="AR14">
            <v>7280</v>
          </cell>
          <cell r="GM14">
            <v>7218</v>
          </cell>
          <cell r="GN14">
            <v>6837</v>
          </cell>
          <cell r="GO14">
            <v>6837</v>
          </cell>
          <cell r="GP14">
            <v>7259</v>
          </cell>
        </row>
        <row r="15">
          <cell r="AR15">
            <v>5610</v>
          </cell>
          <cell r="GM15">
            <v>5611</v>
          </cell>
          <cell r="GN15">
            <v>5766</v>
          </cell>
          <cell r="GO15">
            <v>5771</v>
          </cell>
          <cell r="GP15">
            <v>5630</v>
          </cell>
        </row>
        <row r="16">
          <cell r="AR16">
            <v>2423</v>
          </cell>
          <cell r="GM16">
            <v>1964</v>
          </cell>
          <cell r="GN16">
            <v>1964</v>
          </cell>
          <cell r="GO16">
            <v>2215</v>
          </cell>
          <cell r="GP16">
            <v>2333</v>
          </cell>
        </row>
        <row r="17">
          <cell r="AR17">
            <v>261</v>
          </cell>
          <cell r="GM17">
            <v>0</v>
          </cell>
          <cell r="GN17">
            <v>0</v>
          </cell>
          <cell r="GO17">
            <v>0</v>
          </cell>
          <cell r="GP17">
            <v>253</v>
          </cell>
        </row>
        <row r="18">
          <cell r="AR18">
            <v>11544</v>
          </cell>
          <cell r="GM18">
            <v>10171</v>
          </cell>
          <cell r="GN18">
            <v>10794</v>
          </cell>
          <cell r="GO18">
            <v>11132</v>
          </cell>
          <cell r="GP18">
            <v>11801</v>
          </cell>
        </row>
        <row r="19">
          <cell r="AR19">
            <v>5468</v>
          </cell>
          <cell r="GM19">
            <v>4917</v>
          </cell>
          <cell r="GN19">
            <v>4992</v>
          </cell>
          <cell r="GO19">
            <v>5393</v>
          </cell>
          <cell r="GP19">
            <v>5404</v>
          </cell>
        </row>
        <row r="20">
          <cell r="AR20">
            <v>484</v>
          </cell>
          <cell r="GM20">
            <v>436</v>
          </cell>
          <cell r="GN20">
            <v>460</v>
          </cell>
          <cell r="GO20">
            <v>0</v>
          </cell>
          <cell r="GP20">
            <v>483</v>
          </cell>
        </row>
        <row r="21">
          <cell r="AR21">
            <v>1865</v>
          </cell>
          <cell r="GM21">
            <v>0</v>
          </cell>
          <cell r="GN21">
            <v>0</v>
          </cell>
          <cell r="GO21">
            <v>0</v>
          </cell>
          <cell r="GP21">
            <v>1865</v>
          </cell>
        </row>
        <row r="22">
          <cell r="AR22">
            <v>3693</v>
          </cell>
          <cell r="GM22">
            <v>0</v>
          </cell>
          <cell r="GN22">
            <v>4211</v>
          </cell>
          <cell r="GO22">
            <v>3529</v>
          </cell>
          <cell r="GP22">
            <v>3009</v>
          </cell>
        </row>
        <row r="23">
          <cell r="AR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</row>
        <row r="24">
          <cell r="AR24">
            <v>745</v>
          </cell>
          <cell r="GM24">
            <v>1379</v>
          </cell>
          <cell r="GN24">
            <v>1382</v>
          </cell>
          <cell r="GO24">
            <v>1382</v>
          </cell>
          <cell r="GP24">
            <v>1360</v>
          </cell>
        </row>
        <row r="25">
          <cell r="AR25">
            <v>2091</v>
          </cell>
          <cell r="GM25">
            <v>2007</v>
          </cell>
          <cell r="GN25">
            <v>2028</v>
          </cell>
          <cell r="GO25">
            <v>2018</v>
          </cell>
          <cell r="GP25">
            <v>2016</v>
          </cell>
        </row>
        <row r="26">
          <cell r="AR26">
            <v>810</v>
          </cell>
          <cell r="GM26">
            <v>505</v>
          </cell>
          <cell r="GN26">
            <v>515</v>
          </cell>
          <cell r="GO26">
            <v>805</v>
          </cell>
          <cell r="GP26">
            <v>805</v>
          </cell>
        </row>
        <row r="27">
          <cell r="AR27">
            <v>781</v>
          </cell>
          <cell r="GM27">
            <v>0</v>
          </cell>
          <cell r="GN27">
            <v>0</v>
          </cell>
          <cell r="GO27">
            <v>0</v>
          </cell>
          <cell r="GP27">
            <v>262</v>
          </cell>
        </row>
        <row r="28">
          <cell r="AR28">
            <v>314</v>
          </cell>
          <cell r="GM28">
            <v>312</v>
          </cell>
          <cell r="GN28">
            <v>314</v>
          </cell>
          <cell r="GO28">
            <v>315</v>
          </cell>
          <cell r="GP28">
            <v>313</v>
          </cell>
        </row>
        <row r="29">
          <cell r="AR29">
            <v>55754</v>
          </cell>
          <cell r="GM29">
            <v>54876</v>
          </cell>
          <cell r="GN29">
            <v>54619</v>
          </cell>
          <cell r="GO29">
            <v>55781</v>
          </cell>
          <cell r="GP29">
            <v>55564</v>
          </cell>
        </row>
        <row r="30">
          <cell r="AR30">
            <v>2920</v>
          </cell>
          <cell r="GM30">
            <v>2975</v>
          </cell>
          <cell r="GN30">
            <v>2988</v>
          </cell>
          <cell r="GO30">
            <v>2934</v>
          </cell>
          <cell r="GP30">
            <v>2932</v>
          </cell>
        </row>
        <row r="31">
          <cell r="AR31">
            <v>7004</v>
          </cell>
          <cell r="GM31">
            <v>0</v>
          </cell>
          <cell r="GN31">
            <v>6329</v>
          </cell>
          <cell r="GO31">
            <v>6339</v>
          </cell>
          <cell r="GP31">
            <v>6356</v>
          </cell>
        </row>
        <row r="32">
          <cell r="AR32">
            <v>23</v>
          </cell>
          <cell r="GM32">
            <v>0</v>
          </cell>
          <cell r="GN32">
            <v>0</v>
          </cell>
          <cell r="GO32">
            <v>0</v>
          </cell>
          <cell r="GP32">
            <v>23</v>
          </cell>
        </row>
        <row r="33">
          <cell r="AR33">
            <v>601</v>
          </cell>
          <cell r="GM33">
            <v>0</v>
          </cell>
          <cell r="GN33">
            <v>0</v>
          </cell>
          <cell r="GO33">
            <v>0</v>
          </cell>
          <cell r="GP33">
            <v>669</v>
          </cell>
        </row>
        <row r="34">
          <cell r="AR34">
            <v>15487</v>
          </cell>
          <cell r="GM34">
            <v>14804</v>
          </cell>
          <cell r="GN34">
            <v>14970</v>
          </cell>
          <cell r="GO34">
            <v>15394</v>
          </cell>
          <cell r="GP34">
            <v>15319</v>
          </cell>
        </row>
        <row r="35">
          <cell r="AR35">
            <v>1995</v>
          </cell>
          <cell r="GM35">
            <v>1982</v>
          </cell>
          <cell r="GN35">
            <v>1992</v>
          </cell>
          <cell r="GO35">
            <v>1994</v>
          </cell>
          <cell r="GP35">
            <v>1995</v>
          </cell>
        </row>
        <row r="36">
          <cell r="AR36">
            <v>1781</v>
          </cell>
          <cell r="GM36">
            <v>1345</v>
          </cell>
          <cell r="GN36">
            <v>1387</v>
          </cell>
          <cell r="GO36">
            <v>1377</v>
          </cell>
          <cell r="GP36">
            <v>1364</v>
          </cell>
        </row>
        <row r="37">
          <cell r="AR37">
            <v>8251</v>
          </cell>
          <cell r="GM37">
            <v>6619</v>
          </cell>
          <cell r="GN37">
            <v>6777</v>
          </cell>
          <cell r="GO37">
            <v>6789</v>
          </cell>
          <cell r="GP37">
            <v>7729</v>
          </cell>
        </row>
        <row r="38">
          <cell r="AR38">
            <v>1144</v>
          </cell>
          <cell r="GM38">
            <v>943</v>
          </cell>
          <cell r="GN38">
            <v>0</v>
          </cell>
          <cell r="GO38">
            <v>0</v>
          </cell>
          <cell r="GP38">
            <v>1170</v>
          </cell>
        </row>
        <row r="39">
          <cell r="AR39">
            <v>943</v>
          </cell>
          <cell r="GM39">
            <v>943</v>
          </cell>
          <cell r="GN39">
            <v>943</v>
          </cell>
          <cell r="GO39">
            <v>943</v>
          </cell>
          <cell r="GP39">
            <v>943</v>
          </cell>
        </row>
        <row r="40">
          <cell r="AR40">
            <v>410</v>
          </cell>
          <cell r="GM40">
            <v>400</v>
          </cell>
          <cell r="GN40">
            <v>406</v>
          </cell>
          <cell r="GO40">
            <v>410</v>
          </cell>
          <cell r="GP40">
            <v>410</v>
          </cell>
        </row>
        <row r="41">
          <cell r="AR41">
            <v>301</v>
          </cell>
          <cell r="GM41">
            <v>304</v>
          </cell>
          <cell r="GN41">
            <v>293</v>
          </cell>
          <cell r="GO41">
            <v>293</v>
          </cell>
          <cell r="GP41">
            <v>424</v>
          </cell>
        </row>
        <row r="42">
          <cell r="AR42">
            <v>358</v>
          </cell>
          <cell r="GM42">
            <v>0</v>
          </cell>
          <cell r="GN42">
            <v>0</v>
          </cell>
          <cell r="GO42">
            <v>0</v>
          </cell>
          <cell r="GP42">
            <v>383</v>
          </cell>
        </row>
        <row r="43">
          <cell r="AR43">
            <v>3448</v>
          </cell>
          <cell r="GM43">
            <v>3794</v>
          </cell>
          <cell r="GN43">
            <v>3448</v>
          </cell>
          <cell r="GO43">
            <v>3448</v>
          </cell>
          <cell r="GP43">
            <v>3434</v>
          </cell>
        </row>
        <row r="44">
          <cell r="AR44">
            <v>12710</v>
          </cell>
          <cell r="GM44">
            <v>13020</v>
          </cell>
          <cell r="GN44">
            <v>12497</v>
          </cell>
          <cell r="GO44">
            <v>12281</v>
          </cell>
          <cell r="GP44">
            <v>12421</v>
          </cell>
        </row>
        <row r="45">
          <cell r="AR45">
            <v>13360</v>
          </cell>
          <cell r="GM45">
            <v>13023</v>
          </cell>
          <cell r="GN45">
            <v>13201</v>
          </cell>
          <cell r="GO45">
            <v>13232</v>
          </cell>
          <cell r="GP45">
            <v>13293</v>
          </cell>
        </row>
        <row r="46">
          <cell r="AR46">
            <v>212964</v>
          </cell>
          <cell r="GM46">
            <v>242783</v>
          </cell>
          <cell r="GN46">
            <v>239521</v>
          </cell>
          <cell r="GO46">
            <v>209511</v>
          </cell>
          <cell r="GP46">
            <v>211704</v>
          </cell>
        </row>
        <row r="47">
          <cell r="AR47">
            <v>400</v>
          </cell>
          <cell r="GM47">
            <v>430</v>
          </cell>
          <cell r="GN47">
            <v>400</v>
          </cell>
          <cell r="GO47">
            <v>397</v>
          </cell>
          <cell r="GP47">
            <v>400</v>
          </cell>
        </row>
        <row r="48">
          <cell r="AR48">
            <v>875</v>
          </cell>
          <cell r="GM48">
            <v>920</v>
          </cell>
          <cell r="GN48">
            <v>0</v>
          </cell>
          <cell r="GO48">
            <v>875</v>
          </cell>
          <cell r="GP48">
            <v>875</v>
          </cell>
        </row>
        <row r="49">
          <cell r="AR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</row>
        <row r="50">
          <cell r="AR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</row>
        <row r="51">
          <cell r="AR51">
            <v>1160</v>
          </cell>
          <cell r="GM51">
            <v>1267</v>
          </cell>
          <cell r="GN51">
            <v>1160</v>
          </cell>
          <cell r="GO51">
            <v>1160</v>
          </cell>
          <cell r="GP51">
            <v>1160</v>
          </cell>
        </row>
        <row r="52">
          <cell r="AR52">
            <v>517</v>
          </cell>
          <cell r="GM52">
            <v>518</v>
          </cell>
          <cell r="GN52">
            <v>0</v>
          </cell>
          <cell r="GO52">
            <v>517</v>
          </cell>
          <cell r="GP52">
            <v>517</v>
          </cell>
        </row>
        <row r="53">
          <cell r="AR53">
            <v>308</v>
          </cell>
          <cell r="GM53">
            <v>250</v>
          </cell>
          <cell r="GN53">
            <v>0</v>
          </cell>
          <cell r="GO53">
            <v>250</v>
          </cell>
          <cell r="GP53">
            <v>250</v>
          </cell>
        </row>
        <row r="54">
          <cell r="AR54">
            <v>1024</v>
          </cell>
          <cell r="GM54">
            <v>1024</v>
          </cell>
          <cell r="GN54">
            <v>1024</v>
          </cell>
          <cell r="GO54">
            <v>1024</v>
          </cell>
          <cell r="GP54">
            <v>1024</v>
          </cell>
        </row>
        <row r="55">
          <cell r="AR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</row>
        <row r="56">
          <cell r="AR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</row>
        <row r="57">
          <cell r="AR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</row>
        <row r="58">
          <cell r="AR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</row>
        <row r="59">
          <cell r="AR59">
            <v>1355</v>
          </cell>
          <cell r="GM59">
            <v>1409</v>
          </cell>
          <cell r="GN59">
            <v>0</v>
          </cell>
          <cell r="GO59">
            <v>0</v>
          </cell>
          <cell r="GP59">
            <v>1355</v>
          </cell>
        </row>
        <row r="60">
          <cell r="AR60">
            <v>212025</v>
          </cell>
          <cell r="GM60">
            <v>198113</v>
          </cell>
          <cell r="GN60">
            <v>198454</v>
          </cell>
          <cell r="GO60">
            <v>198795</v>
          </cell>
          <cell r="GP60">
            <v>207845</v>
          </cell>
        </row>
        <row r="61">
          <cell r="AR61">
            <v>1221</v>
          </cell>
          <cell r="GM61">
            <v>1239</v>
          </cell>
          <cell r="GN61">
            <v>1211</v>
          </cell>
          <cell r="GO61">
            <v>1209</v>
          </cell>
          <cell r="GP61">
            <v>1209</v>
          </cell>
        </row>
        <row r="62">
          <cell r="AR62">
            <v>444</v>
          </cell>
          <cell r="GM62">
            <v>0</v>
          </cell>
          <cell r="GN62">
            <v>381</v>
          </cell>
          <cell r="GO62">
            <v>389</v>
          </cell>
          <cell r="GP62">
            <v>423</v>
          </cell>
        </row>
        <row r="63">
          <cell r="AR63">
            <v>708</v>
          </cell>
          <cell r="GM63">
            <v>0</v>
          </cell>
          <cell r="GN63">
            <v>0</v>
          </cell>
          <cell r="GO63">
            <v>0</v>
          </cell>
          <cell r="GP63">
            <v>708</v>
          </cell>
        </row>
        <row r="64">
          <cell r="AR64">
            <v>28435</v>
          </cell>
          <cell r="GM64">
            <v>25003</v>
          </cell>
          <cell r="GN64">
            <v>24746</v>
          </cell>
          <cell r="GO64">
            <v>25129</v>
          </cell>
          <cell r="GP64">
            <v>27230</v>
          </cell>
        </row>
        <row r="65">
          <cell r="AR65">
            <v>9705</v>
          </cell>
          <cell r="GM65">
            <v>10150</v>
          </cell>
          <cell r="GN65">
            <v>9703</v>
          </cell>
          <cell r="GO65">
            <v>9701</v>
          </cell>
          <cell r="GP65">
            <v>9698</v>
          </cell>
        </row>
        <row r="66">
          <cell r="AR66">
            <v>7129</v>
          </cell>
          <cell r="GM66">
            <v>6946</v>
          </cell>
          <cell r="GN66">
            <v>0</v>
          </cell>
          <cell r="GO66">
            <v>6986</v>
          </cell>
          <cell r="GP66">
            <v>6961</v>
          </cell>
        </row>
        <row r="67">
          <cell r="AR67">
            <v>134656</v>
          </cell>
          <cell r="GM67">
            <v>141603</v>
          </cell>
          <cell r="GN67">
            <v>145592</v>
          </cell>
          <cell r="GO67">
            <v>145592</v>
          </cell>
          <cell r="GP67">
            <v>155800</v>
          </cell>
        </row>
        <row r="68">
          <cell r="AR68">
            <v>5530</v>
          </cell>
          <cell r="GM68">
            <v>5042</v>
          </cell>
          <cell r="GN68">
            <v>5108</v>
          </cell>
          <cell r="GO68">
            <v>5206</v>
          </cell>
          <cell r="GP68">
            <v>5326</v>
          </cell>
        </row>
        <row r="69">
          <cell r="AR69">
            <v>517</v>
          </cell>
          <cell r="GM69">
            <v>0</v>
          </cell>
          <cell r="GN69">
            <v>0</v>
          </cell>
          <cell r="GO69">
            <v>0</v>
          </cell>
          <cell r="GP69">
            <v>478</v>
          </cell>
        </row>
        <row r="70">
          <cell r="AR70">
            <v>531</v>
          </cell>
          <cell r="GM70">
            <v>0</v>
          </cell>
          <cell r="GN70">
            <v>526</v>
          </cell>
          <cell r="GO70">
            <v>526</v>
          </cell>
          <cell r="GP70">
            <v>527</v>
          </cell>
        </row>
        <row r="71">
          <cell r="AR71">
            <v>14113</v>
          </cell>
          <cell r="GM71">
            <v>6483</v>
          </cell>
          <cell r="GN71">
            <v>0</v>
          </cell>
          <cell r="GO71">
            <v>6518</v>
          </cell>
          <cell r="GP71">
            <v>14004</v>
          </cell>
        </row>
        <row r="72">
          <cell r="AR72">
            <v>376</v>
          </cell>
          <cell r="GM72">
            <v>376</v>
          </cell>
          <cell r="GN72">
            <v>376</v>
          </cell>
          <cell r="GO72">
            <v>376</v>
          </cell>
          <cell r="GP72">
            <v>376</v>
          </cell>
        </row>
        <row r="73">
          <cell r="AR73">
            <v>469</v>
          </cell>
          <cell r="GM73">
            <v>0</v>
          </cell>
          <cell r="GN73">
            <v>0</v>
          </cell>
          <cell r="GO73">
            <v>0</v>
          </cell>
          <cell r="GP73">
            <v>572</v>
          </cell>
        </row>
        <row r="74">
          <cell r="AR74">
            <v>293</v>
          </cell>
          <cell r="GM74">
            <v>293</v>
          </cell>
          <cell r="GN74">
            <v>0</v>
          </cell>
          <cell r="GO74">
            <v>0</v>
          </cell>
          <cell r="GP74">
            <v>293</v>
          </cell>
        </row>
        <row r="75">
          <cell r="AR75">
            <v>598</v>
          </cell>
          <cell r="GM75">
            <v>598</v>
          </cell>
          <cell r="GN75">
            <v>598</v>
          </cell>
          <cell r="GO75">
            <v>598</v>
          </cell>
          <cell r="GP75">
            <v>598</v>
          </cell>
        </row>
        <row r="76">
          <cell r="AR76">
            <v>2969</v>
          </cell>
          <cell r="GM76">
            <v>853</v>
          </cell>
          <cell r="GN76">
            <v>0</v>
          </cell>
          <cell r="GO76">
            <v>839</v>
          </cell>
          <cell r="GP76">
            <v>839</v>
          </cell>
        </row>
        <row r="77">
          <cell r="AR77">
            <v>1747</v>
          </cell>
          <cell r="GM77">
            <v>0</v>
          </cell>
          <cell r="GN77">
            <v>0</v>
          </cell>
          <cell r="GO77">
            <v>0</v>
          </cell>
          <cell r="GP77">
            <v>2129</v>
          </cell>
        </row>
        <row r="78">
          <cell r="AR78">
            <v>901</v>
          </cell>
          <cell r="GM78">
            <v>0</v>
          </cell>
          <cell r="GN78">
            <v>0</v>
          </cell>
          <cell r="GO78">
            <v>0</v>
          </cell>
          <cell r="GP78">
            <v>898</v>
          </cell>
        </row>
        <row r="79">
          <cell r="AR79">
            <v>1534</v>
          </cell>
          <cell r="GM79">
            <v>1529</v>
          </cell>
          <cell r="GN79">
            <v>1529</v>
          </cell>
          <cell r="GO79">
            <v>1534</v>
          </cell>
          <cell r="GP79">
            <v>1534</v>
          </cell>
        </row>
        <row r="80">
          <cell r="AR80">
            <v>449</v>
          </cell>
          <cell r="GM80">
            <v>448</v>
          </cell>
          <cell r="GN80">
            <v>0</v>
          </cell>
          <cell r="GO80">
            <v>0</v>
          </cell>
          <cell r="GP80">
            <v>448</v>
          </cell>
        </row>
        <row r="81">
          <cell r="AR81">
            <v>614</v>
          </cell>
          <cell r="GM81">
            <v>614</v>
          </cell>
          <cell r="GN81">
            <v>0</v>
          </cell>
          <cell r="GO81">
            <v>0</v>
          </cell>
          <cell r="GP81">
            <v>614</v>
          </cell>
        </row>
        <row r="82">
          <cell r="AR82">
            <v>3232</v>
          </cell>
          <cell r="GM82">
            <v>0</v>
          </cell>
          <cell r="GN82">
            <v>3665</v>
          </cell>
          <cell r="GO82">
            <v>2820</v>
          </cell>
          <cell r="GP82">
            <v>2863</v>
          </cell>
        </row>
        <row r="83">
          <cell r="AR83">
            <v>389</v>
          </cell>
          <cell r="GM83">
            <v>0</v>
          </cell>
          <cell r="GN83">
            <v>0</v>
          </cell>
          <cell r="GO83">
            <v>0</v>
          </cell>
          <cell r="GP83">
            <v>370</v>
          </cell>
        </row>
        <row r="84">
          <cell r="AR84">
            <v>4385</v>
          </cell>
          <cell r="GM84">
            <v>4642</v>
          </cell>
          <cell r="GN84">
            <v>4409</v>
          </cell>
          <cell r="GO84">
            <v>4201</v>
          </cell>
          <cell r="GP84">
            <v>4233</v>
          </cell>
        </row>
        <row r="85">
          <cell r="AR85">
            <v>492</v>
          </cell>
          <cell r="GM85">
            <v>492</v>
          </cell>
          <cell r="GN85">
            <v>492</v>
          </cell>
          <cell r="GO85">
            <v>492</v>
          </cell>
          <cell r="GP85">
            <v>492</v>
          </cell>
        </row>
        <row r="86">
          <cell r="AR86">
            <v>3015</v>
          </cell>
          <cell r="GM86">
            <v>4582</v>
          </cell>
          <cell r="GN86">
            <v>4706</v>
          </cell>
          <cell r="GO86">
            <v>2958</v>
          </cell>
          <cell r="GP86">
            <v>3000</v>
          </cell>
        </row>
        <row r="87">
          <cell r="AR87">
            <v>12840</v>
          </cell>
          <cell r="GM87">
            <v>12487</v>
          </cell>
          <cell r="GN87">
            <v>12430</v>
          </cell>
          <cell r="GO87">
            <v>12484</v>
          </cell>
          <cell r="GP87">
            <v>12511</v>
          </cell>
        </row>
        <row r="88">
          <cell r="AR88">
            <v>1085</v>
          </cell>
          <cell r="GM88">
            <v>1108</v>
          </cell>
          <cell r="GN88">
            <v>1714</v>
          </cell>
          <cell r="GO88">
            <v>1714</v>
          </cell>
          <cell r="GP88">
            <v>1589</v>
          </cell>
        </row>
        <row r="89">
          <cell r="AR89">
            <v>1179</v>
          </cell>
          <cell r="GM89">
            <v>1118</v>
          </cell>
          <cell r="GN89">
            <v>1118</v>
          </cell>
          <cell r="GO89">
            <v>1118</v>
          </cell>
          <cell r="GP89">
            <v>1794</v>
          </cell>
        </row>
        <row r="90">
          <cell r="AR90">
            <v>697</v>
          </cell>
          <cell r="GM90">
            <v>698</v>
          </cell>
          <cell r="GN90">
            <v>712</v>
          </cell>
          <cell r="GO90">
            <v>712</v>
          </cell>
          <cell r="GP90">
            <v>712</v>
          </cell>
        </row>
        <row r="91">
          <cell r="AR91">
            <v>5991</v>
          </cell>
          <cell r="GM91">
            <v>4715</v>
          </cell>
          <cell r="GN91">
            <v>4464</v>
          </cell>
          <cell r="GO91">
            <v>4730</v>
          </cell>
          <cell r="GP91">
            <v>5991</v>
          </cell>
        </row>
        <row r="92">
          <cell r="AR92">
            <v>550</v>
          </cell>
          <cell r="GM92">
            <v>0</v>
          </cell>
          <cell r="GN92">
            <v>0</v>
          </cell>
          <cell r="GO92">
            <v>0</v>
          </cell>
          <cell r="GP92">
            <v>548</v>
          </cell>
        </row>
        <row r="93">
          <cell r="AR93">
            <v>541</v>
          </cell>
          <cell r="GM93">
            <v>570</v>
          </cell>
          <cell r="GN93">
            <v>785</v>
          </cell>
          <cell r="GO93">
            <v>570</v>
          </cell>
          <cell r="GP93">
            <v>789</v>
          </cell>
        </row>
        <row r="94">
          <cell r="AR94">
            <v>3404</v>
          </cell>
          <cell r="GM94">
            <v>3416</v>
          </cell>
          <cell r="GN94">
            <v>3413</v>
          </cell>
          <cell r="GO94">
            <v>3414</v>
          </cell>
          <cell r="GP94">
            <v>3404</v>
          </cell>
        </row>
        <row r="95">
          <cell r="AR95">
            <v>14413</v>
          </cell>
          <cell r="GM95">
            <v>13898</v>
          </cell>
          <cell r="GN95">
            <v>14822</v>
          </cell>
          <cell r="GO95">
            <v>14366</v>
          </cell>
          <cell r="GP95">
            <v>14256</v>
          </cell>
        </row>
        <row r="96">
          <cell r="AR96">
            <v>11070</v>
          </cell>
          <cell r="GM96">
            <v>16559</v>
          </cell>
          <cell r="GN96">
            <v>10982</v>
          </cell>
          <cell r="GO96">
            <v>10042</v>
          </cell>
          <cell r="GP96">
            <v>10899</v>
          </cell>
        </row>
        <row r="97">
          <cell r="AR97">
            <v>445</v>
          </cell>
          <cell r="GM97">
            <v>0</v>
          </cell>
          <cell r="GN97">
            <v>0</v>
          </cell>
          <cell r="GO97">
            <v>0</v>
          </cell>
          <cell r="GP97">
            <v>443</v>
          </cell>
        </row>
        <row r="98">
          <cell r="AR98">
            <v>704</v>
          </cell>
          <cell r="GM98">
            <v>698</v>
          </cell>
          <cell r="GN98">
            <v>702</v>
          </cell>
          <cell r="GO98">
            <v>698</v>
          </cell>
          <cell r="GP98">
            <v>700</v>
          </cell>
        </row>
        <row r="99">
          <cell r="AR99">
            <v>3274</v>
          </cell>
          <cell r="GM99">
            <v>3261</v>
          </cell>
          <cell r="GN99">
            <v>3212</v>
          </cell>
          <cell r="GO99">
            <v>3187</v>
          </cell>
          <cell r="GP99">
            <v>3173</v>
          </cell>
        </row>
        <row r="100">
          <cell r="AR100">
            <v>88652</v>
          </cell>
          <cell r="GM100">
            <v>90598</v>
          </cell>
          <cell r="GN100">
            <v>85531</v>
          </cell>
          <cell r="GO100">
            <v>95575</v>
          </cell>
          <cell r="GP100">
            <v>95566</v>
          </cell>
        </row>
        <row r="101">
          <cell r="AR101">
            <v>13372</v>
          </cell>
          <cell r="GM101">
            <v>13267</v>
          </cell>
          <cell r="GN101">
            <v>13063</v>
          </cell>
          <cell r="GO101">
            <v>13339</v>
          </cell>
          <cell r="GP101">
            <v>13360</v>
          </cell>
        </row>
        <row r="102">
          <cell r="AR102">
            <v>21035</v>
          </cell>
          <cell r="GM102">
            <v>20130</v>
          </cell>
          <cell r="GN102">
            <v>19839</v>
          </cell>
          <cell r="GO102">
            <v>20243</v>
          </cell>
          <cell r="GP102">
            <v>20421</v>
          </cell>
        </row>
        <row r="103">
          <cell r="AR103">
            <v>56235</v>
          </cell>
          <cell r="GM103">
            <v>56541</v>
          </cell>
          <cell r="GN103">
            <v>56462</v>
          </cell>
          <cell r="GO103">
            <v>52517</v>
          </cell>
          <cell r="GP103">
            <v>56407</v>
          </cell>
        </row>
        <row r="104">
          <cell r="AR104">
            <v>1944</v>
          </cell>
          <cell r="GM104">
            <v>2267</v>
          </cell>
          <cell r="GN104">
            <v>2267</v>
          </cell>
          <cell r="GO104">
            <v>2267</v>
          </cell>
          <cell r="GP104">
            <v>2944</v>
          </cell>
        </row>
        <row r="105">
          <cell r="AR105">
            <v>514</v>
          </cell>
          <cell r="GM105">
            <v>514</v>
          </cell>
          <cell r="GN105">
            <v>1048</v>
          </cell>
          <cell r="GO105">
            <v>1048</v>
          </cell>
          <cell r="GP105">
            <v>507</v>
          </cell>
        </row>
        <row r="106">
          <cell r="AR106">
            <v>7556</v>
          </cell>
          <cell r="GM106">
            <v>7598</v>
          </cell>
          <cell r="GN106">
            <v>7658</v>
          </cell>
          <cell r="GO106">
            <v>7584</v>
          </cell>
          <cell r="GP106">
            <v>7562</v>
          </cell>
        </row>
        <row r="107">
          <cell r="AR107">
            <v>6129</v>
          </cell>
          <cell r="GM107">
            <v>6065</v>
          </cell>
          <cell r="GN107">
            <v>6092</v>
          </cell>
          <cell r="GO107">
            <v>6086</v>
          </cell>
          <cell r="GP107">
            <v>6121</v>
          </cell>
        </row>
        <row r="108">
          <cell r="AR108">
            <v>7511</v>
          </cell>
          <cell r="GM108">
            <v>0</v>
          </cell>
          <cell r="GN108">
            <v>0</v>
          </cell>
          <cell r="GO108">
            <v>0</v>
          </cell>
          <cell r="GP108">
            <v>7157</v>
          </cell>
        </row>
        <row r="109">
          <cell r="AR109">
            <v>33558</v>
          </cell>
          <cell r="GM109">
            <v>31286</v>
          </cell>
          <cell r="GN109">
            <v>31494</v>
          </cell>
          <cell r="GO109">
            <v>31533</v>
          </cell>
          <cell r="GP109">
            <v>33586</v>
          </cell>
        </row>
        <row r="110">
          <cell r="AR110">
            <v>220058</v>
          </cell>
          <cell r="GM110">
            <v>203262</v>
          </cell>
          <cell r="GN110">
            <v>214130</v>
          </cell>
          <cell r="GO110">
            <v>216894</v>
          </cell>
          <cell r="GP110">
            <v>218461</v>
          </cell>
        </row>
        <row r="111">
          <cell r="AR111">
            <v>122147.51830605509</v>
          </cell>
          <cell r="GM111">
            <v>125705.46048069438</v>
          </cell>
          <cell r="GN111">
            <v>125735.07384956483</v>
          </cell>
          <cell r="GO111">
            <v>123710.43395507746</v>
          </cell>
          <cell r="GP111">
            <v>121736</v>
          </cell>
        </row>
        <row r="112">
          <cell r="AR112">
            <v>8016</v>
          </cell>
          <cell r="GM112">
            <v>7874</v>
          </cell>
          <cell r="GN112">
            <v>7895</v>
          </cell>
          <cell r="GO112">
            <v>7896</v>
          </cell>
          <cell r="GP112">
            <v>7945</v>
          </cell>
        </row>
        <row r="113">
          <cell r="AR113">
            <v>2049</v>
          </cell>
          <cell r="GM113">
            <v>1986</v>
          </cell>
          <cell r="GN113">
            <v>1969</v>
          </cell>
          <cell r="GO113">
            <v>1947</v>
          </cell>
          <cell r="GP113">
            <v>1921</v>
          </cell>
        </row>
        <row r="114">
          <cell r="AR114">
            <v>604</v>
          </cell>
          <cell r="GM114">
            <v>607</v>
          </cell>
          <cell r="GN114">
            <v>0</v>
          </cell>
          <cell r="GO114">
            <v>0</v>
          </cell>
          <cell r="GP114">
            <v>601</v>
          </cell>
        </row>
        <row r="115">
          <cell r="AR115">
            <v>814</v>
          </cell>
          <cell r="GM115">
            <v>811</v>
          </cell>
          <cell r="GN115">
            <v>814</v>
          </cell>
          <cell r="GO115">
            <v>814</v>
          </cell>
          <cell r="GP115">
            <v>814</v>
          </cell>
        </row>
        <row r="116">
          <cell r="AR116">
            <v>716</v>
          </cell>
          <cell r="GM116">
            <v>653</v>
          </cell>
          <cell r="GN116">
            <v>717</v>
          </cell>
          <cell r="GO116">
            <v>714</v>
          </cell>
          <cell r="GP116">
            <v>716</v>
          </cell>
        </row>
        <row r="117">
          <cell r="AR117">
            <v>496</v>
          </cell>
          <cell r="GM117">
            <v>581</v>
          </cell>
          <cell r="GN117">
            <v>566</v>
          </cell>
          <cell r="GO117">
            <v>566</v>
          </cell>
          <cell r="GP117">
            <v>496</v>
          </cell>
        </row>
        <row r="118">
          <cell r="AR118">
            <v>1011</v>
          </cell>
          <cell r="GM118">
            <v>925</v>
          </cell>
          <cell r="GN118">
            <v>1000</v>
          </cell>
          <cell r="GO118">
            <v>1000</v>
          </cell>
          <cell r="GP118">
            <v>1000</v>
          </cell>
        </row>
        <row r="119">
          <cell r="AR119">
            <v>27836</v>
          </cell>
          <cell r="GM119">
            <v>34057</v>
          </cell>
          <cell r="GN119">
            <v>31865</v>
          </cell>
          <cell r="GO119">
            <v>32120</v>
          </cell>
          <cell r="GP119">
            <v>27773</v>
          </cell>
        </row>
        <row r="120">
          <cell r="AR120">
            <v>8551</v>
          </cell>
          <cell r="GM120">
            <v>8705</v>
          </cell>
          <cell r="GN120">
            <v>0</v>
          </cell>
          <cell r="GO120">
            <v>8538</v>
          </cell>
          <cell r="GP120">
            <v>8609</v>
          </cell>
        </row>
        <row r="121">
          <cell r="AR121">
            <v>66692</v>
          </cell>
          <cell r="GM121">
            <v>66701</v>
          </cell>
          <cell r="GN121">
            <v>66598</v>
          </cell>
          <cell r="GO121">
            <v>65993</v>
          </cell>
          <cell r="GP121">
            <v>66040</v>
          </cell>
        </row>
        <row r="122">
          <cell r="AR122">
            <v>1229</v>
          </cell>
          <cell r="GM122">
            <v>1111</v>
          </cell>
          <cell r="GN122">
            <v>1190</v>
          </cell>
          <cell r="GO122">
            <v>0</v>
          </cell>
          <cell r="GP122">
            <v>843</v>
          </cell>
        </row>
        <row r="123">
          <cell r="AR123">
            <v>1923</v>
          </cell>
          <cell r="GM123">
            <v>1894</v>
          </cell>
          <cell r="GN123">
            <v>1861</v>
          </cell>
          <cell r="GO123">
            <v>1910</v>
          </cell>
          <cell r="GP123">
            <v>1909</v>
          </cell>
        </row>
        <row r="124">
          <cell r="AR124">
            <v>1459</v>
          </cell>
          <cell r="GM124">
            <v>1366</v>
          </cell>
          <cell r="GN124">
            <v>1397</v>
          </cell>
          <cell r="GO124">
            <v>1387</v>
          </cell>
          <cell r="GP124">
            <v>1379</v>
          </cell>
        </row>
        <row r="125">
          <cell r="AR125">
            <v>2031</v>
          </cell>
          <cell r="GM125">
            <v>1578</v>
          </cell>
          <cell r="GN125">
            <v>0</v>
          </cell>
          <cell r="GO125">
            <v>0</v>
          </cell>
          <cell r="GP125">
            <v>2031</v>
          </cell>
        </row>
        <row r="126">
          <cell r="AR126">
            <v>2160</v>
          </cell>
          <cell r="GM126">
            <v>2001</v>
          </cell>
          <cell r="GN126">
            <v>1634</v>
          </cell>
          <cell r="GO126">
            <v>1711</v>
          </cell>
          <cell r="GP126">
            <v>1924</v>
          </cell>
        </row>
        <row r="127">
          <cell r="AR127">
            <v>795</v>
          </cell>
          <cell r="GM127">
            <v>785</v>
          </cell>
          <cell r="GN127">
            <v>0</v>
          </cell>
          <cell r="GO127">
            <v>795</v>
          </cell>
          <cell r="GP127">
            <v>795</v>
          </cell>
        </row>
        <row r="128">
          <cell r="AR128">
            <v>11683</v>
          </cell>
          <cell r="GM128">
            <v>11512</v>
          </cell>
          <cell r="GN128">
            <v>0</v>
          </cell>
          <cell r="GO128">
            <v>11512</v>
          </cell>
          <cell r="GP128">
            <v>11683</v>
          </cell>
        </row>
        <row r="129">
          <cell r="AR129">
            <v>14128</v>
          </cell>
          <cell r="GM129">
            <v>12668</v>
          </cell>
          <cell r="GN129">
            <v>0</v>
          </cell>
          <cell r="GO129">
            <v>13782</v>
          </cell>
          <cell r="GP129">
            <v>13939</v>
          </cell>
        </row>
        <row r="130">
          <cell r="AR130">
            <v>4999</v>
          </cell>
          <cell r="GM130">
            <v>4488</v>
          </cell>
          <cell r="GN130">
            <v>4956</v>
          </cell>
          <cell r="GO130">
            <v>4963</v>
          </cell>
          <cell r="GP130">
            <v>4980</v>
          </cell>
        </row>
        <row r="131">
          <cell r="AR131">
            <v>1594</v>
          </cell>
          <cell r="GM131">
            <v>1577</v>
          </cell>
          <cell r="GN131">
            <v>1582</v>
          </cell>
          <cell r="GO131">
            <v>1591</v>
          </cell>
          <cell r="GP131">
            <v>1593</v>
          </cell>
        </row>
        <row r="132">
          <cell r="AR132">
            <v>22342</v>
          </cell>
          <cell r="GM132">
            <v>21476</v>
          </cell>
          <cell r="GN132">
            <v>21964</v>
          </cell>
          <cell r="GO132">
            <v>22029</v>
          </cell>
          <cell r="GP132">
            <v>22181</v>
          </cell>
        </row>
        <row r="133">
          <cell r="AR133">
            <v>2765</v>
          </cell>
          <cell r="GM133">
            <v>2494</v>
          </cell>
          <cell r="GN133">
            <v>2644</v>
          </cell>
          <cell r="GO133">
            <v>2637</v>
          </cell>
          <cell r="GP133">
            <v>2458</v>
          </cell>
        </row>
        <row r="134">
          <cell r="AR134">
            <v>1220</v>
          </cell>
          <cell r="GM134">
            <v>1200</v>
          </cell>
          <cell r="GN134">
            <v>1216</v>
          </cell>
          <cell r="GO134">
            <v>1191</v>
          </cell>
          <cell r="GP134">
            <v>1172</v>
          </cell>
        </row>
        <row r="135">
          <cell r="AR135">
            <v>9876</v>
          </cell>
          <cell r="GM135">
            <v>9621</v>
          </cell>
          <cell r="GN135">
            <v>9669</v>
          </cell>
          <cell r="GO135">
            <v>9745</v>
          </cell>
          <cell r="GP135">
            <v>9804</v>
          </cell>
        </row>
        <row r="136">
          <cell r="AR136">
            <v>962</v>
          </cell>
          <cell r="GM136">
            <v>962</v>
          </cell>
          <cell r="GN136">
            <v>962</v>
          </cell>
          <cell r="GO136">
            <v>962</v>
          </cell>
          <cell r="GP136">
            <v>962</v>
          </cell>
        </row>
        <row r="137">
          <cell r="AR137">
            <v>500</v>
          </cell>
          <cell r="GM137">
            <v>500</v>
          </cell>
          <cell r="GN137">
            <v>500</v>
          </cell>
          <cell r="GO137">
            <v>0</v>
          </cell>
          <cell r="GP137">
            <v>500</v>
          </cell>
        </row>
        <row r="138">
          <cell r="AR138">
            <v>847</v>
          </cell>
          <cell r="GM138">
            <v>0</v>
          </cell>
          <cell r="GN138">
            <v>0</v>
          </cell>
          <cell r="GO138">
            <v>838</v>
          </cell>
          <cell r="GP138">
            <v>761</v>
          </cell>
        </row>
        <row r="139">
          <cell r="AR139">
            <v>2493</v>
          </cell>
          <cell r="GM139">
            <v>2477</v>
          </cell>
          <cell r="GN139">
            <v>2484</v>
          </cell>
          <cell r="GO139">
            <v>2488</v>
          </cell>
          <cell r="GP139">
            <v>2491</v>
          </cell>
        </row>
        <row r="140">
          <cell r="AR140">
            <v>714</v>
          </cell>
          <cell r="GM140">
            <v>714</v>
          </cell>
          <cell r="GN140">
            <v>714</v>
          </cell>
          <cell r="GO140">
            <v>714</v>
          </cell>
          <cell r="GP140">
            <v>714</v>
          </cell>
        </row>
        <row r="141">
          <cell r="AR141">
            <v>1994</v>
          </cell>
          <cell r="GM141">
            <v>1931</v>
          </cell>
          <cell r="GN141">
            <v>1941</v>
          </cell>
          <cell r="GO141">
            <v>1940</v>
          </cell>
          <cell r="GP141">
            <v>1954</v>
          </cell>
        </row>
        <row r="142">
          <cell r="AR142">
            <v>11095</v>
          </cell>
          <cell r="GM142">
            <v>8729</v>
          </cell>
          <cell r="GN142">
            <v>8836</v>
          </cell>
          <cell r="GO142">
            <v>7591</v>
          </cell>
          <cell r="GP142">
            <v>11053</v>
          </cell>
        </row>
        <row r="143">
          <cell r="AR143">
            <v>394</v>
          </cell>
          <cell r="GM143">
            <v>394</v>
          </cell>
          <cell r="GN143">
            <v>394</v>
          </cell>
          <cell r="GO143">
            <v>394</v>
          </cell>
          <cell r="GP143">
            <v>394</v>
          </cell>
        </row>
        <row r="144">
          <cell r="AR144">
            <v>415</v>
          </cell>
          <cell r="GM144">
            <v>415</v>
          </cell>
          <cell r="GN144">
            <v>415</v>
          </cell>
          <cell r="GO144">
            <v>415</v>
          </cell>
          <cell r="GP144">
            <v>415</v>
          </cell>
        </row>
        <row r="145">
          <cell r="AR145">
            <v>0</v>
          </cell>
          <cell r="GM145">
            <v>0</v>
          </cell>
          <cell r="GN145">
            <v>0</v>
          </cell>
          <cell r="GO145">
            <v>0</v>
          </cell>
          <cell r="GP145">
            <v>0</v>
          </cell>
        </row>
        <row r="146">
          <cell r="AR146">
            <v>0</v>
          </cell>
          <cell r="GM146">
            <v>0</v>
          </cell>
          <cell r="GN146">
            <v>0</v>
          </cell>
          <cell r="GO146">
            <v>0</v>
          </cell>
          <cell r="GP146">
            <v>0</v>
          </cell>
        </row>
        <row r="147">
          <cell r="AR147">
            <v>1448</v>
          </cell>
          <cell r="GM147">
            <v>1406</v>
          </cell>
          <cell r="GN147">
            <v>1432</v>
          </cell>
          <cell r="GO147">
            <v>1437</v>
          </cell>
          <cell r="GP147">
            <v>1677</v>
          </cell>
        </row>
        <row r="148">
          <cell r="AR148">
            <v>18990</v>
          </cell>
          <cell r="GM148">
            <v>18139</v>
          </cell>
          <cell r="GN148">
            <v>18885</v>
          </cell>
          <cell r="GO148">
            <v>18919</v>
          </cell>
          <cell r="GP148">
            <v>18704</v>
          </cell>
        </row>
        <row r="149">
          <cell r="AR149">
            <v>27381</v>
          </cell>
          <cell r="GM149">
            <v>27597</v>
          </cell>
          <cell r="GN149">
            <v>27788</v>
          </cell>
          <cell r="GO149">
            <v>29811</v>
          </cell>
          <cell r="GP149">
            <v>30562</v>
          </cell>
        </row>
        <row r="150">
          <cell r="AR150">
            <v>18420</v>
          </cell>
          <cell r="GM150">
            <v>18253</v>
          </cell>
          <cell r="GN150">
            <v>22953</v>
          </cell>
          <cell r="GO150">
            <v>18195</v>
          </cell>
          <cell r="GP150">
            <v>18109</v>
          </cell>
        </row>
        <row r="151">
          <cell r="AR151">
            <v>17483</v>
          </cell>
          <cell r="GM151">
            <v>17689</v>
          </cell>
          <cell r="GN151">
            <v>17697</v>
          </cell>
          <cell r="GO151">
            <v>17276</v>
          </cell>
          <cell r="GP151">
            <v>17342</v>
          </cell>
        </row>
        <row r="152">
          <cell r="AR152">
            <v>988</v>
          </cell>
          <cell r="GM152">
            <v>988</v>
          </cell>
          <cell r="GN152">
            <v>0</v>
          </cell>
          <cell r="GO152">
            <v>988</v>
          </cell>
          <cell r="GP152">
            <v>879</v>
          </cell>
        </row>
        <row r="153">
          <cell r="AR153">
            <v>1519</v>
          </cell>
          <cell r="GM153">
            <v>1519</v>
          </cell>
          <cell r="GN153">
            <v>0</v>
          </cell>
          <cell r="GO153">
            <v>1519</v>
          </cell>
          <cell r="GP153">
            <v>1519</v>
          </cell>
        </row>
        <row r="154">
          <cell r="AR154">
            <v>100732</v>
          </cell>
          <cell r="GM154">
            <v>97089</v>
          </cell>
          <cell r="GN154">
            <v>97470</v>
          </cell>
          <cell r="GO154">
            <v>98518</v>
          </cell>
          <cell r="GP154">
            <v>99097</v>
          </cell>
        </row>
        <row r="155">
          <cell r="AR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</row>
        <row r="156">
          <cell r="AR156">
            <v>1764</v>
          </cell>
          <cell r="GM156">
            <v>1838</v>
          </cell>
          <cell r="GN156">
            <v>1810</v>
          </cell>
          <cell r="GO156">
            <v>1825</v>
          </cell>
          <cell r="GP156">
            <v>1797</v>
          </cell>
        </row>
        <row r="157">
          <cell r="AR157">
            <v>939</v>
          </cell>
          <cell r="GM157">
            <v>0</v>
          </cell>
          <cell r="GN157">
            <v>955</v>
          </cell>
          <cell r="GO157">
            <v>960</v>
          </cell>
          <cell r="GP157">
            <v>963</v>
          </cell>
        </row>
        <row r="158">
          <cell r="AR158">
            <v>1128</v>
          </cell>
          <cell r="GM158">
            <v>812</v>
          </cell>
          <cell r="GN158">
            <v>1124</v>
          </cell>
          <cell r="GO158">
            <v>1118</v>
          </cell>
          <cell r="GP158">
            <v>1116</v>
          </cell>
        </row>
        <row r="159">
          <cell r="AR159">
            <v>382</v>
          </cell>
          <cell r="GM159">
            <v>0</v>
          </cell>
          <cell r="GN159">
            <v>0</v>
          </cell>
          <cell r="GO159">
            <v>382</v>
          </cell>
          <cell r="GP159">
            <v>382</v>
          </cell>
        </row>
        <row r="160">
          <cell r="AR160">
            <v>3501</v>
          </cell>
          <cell r="GM160">
            <v>2839</v>
          </cell>
          <cell r="GN160">
            <v>3046</v>
          </cell>
          <cell r="GO160">
            <v>3541</v>
          </cell>
          <cell r="GP160">
            <v>3819</v>
          </cell>
        </row>
        <row r="161">
          <cell r="AR161">
            <v>370</v>
          </cell>
          <cell r="GM161">
            <v>0</v>
          </cell>
          <cell r="GN161">
            <v>0</v>
          </cell>
          <cell r="GO161">
            <v>0</v>
          </cell>
          <cell r="GP161">
            <v>0</v>
          </cell>
        </row>
        <row r="162">
          <cell r="AR162">
            <v>36416</v>
          </cell>
          <cell r="GM162">
            <v>27244</v>
          </cell>
          <cell r="GN162">
            <v>29342</v>
          </cell>
          <cell r="GO162">
            <v>31534</v>
          </cell>
          <cell r="GP162">
            <v>33941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elly Ostrenga" id="{BE301190-C02D-45B1-9AB7-D557EF8643A8}" userId="S::Kelly.Ostrenga@swfwmd.state.fl.us::a12692be-ab95-4a2b-87d4-60855013d67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3" dT="2022-02-11T19:10:00.99" personId="{BE301190-C02D-45B1-9AB7-D557EF8643A8}" id="{6C02429B-EA99-41F7-95BC-84E9703F0D7B}">
    <text>Ownership of Holiday Hotel changed.  Hotel is still open override from 1 room to 142 rooms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tabSelected="1" workbookViewId="0">
      <selection activeCell="I11" sqref="I11"/>
    </sheetView>
  </sheetViews>
  <sheetFormatPr defaultRowHeight="14.25" x14ac:dyDescent="0.2"/>
  <cols>
    <col min="3" max="3" width="9.125" customWidth="1"/>
  </cols>
  <sheetData>
    <row r="1" spans="1:9" x14ac:dyDescent="0.2">
      <c r="A1" s="105" t="s">
        <v>474</v>
      </c>
      <c r="I1">
        <v>1</v>
      </c>
    </row>
    <row r="2" spans="1:9" x14ac:dyDescent="0.2">
      <c r="A2" s="105" t="s">
        <v>936</v>
      </c>
    </row>
    <row r="3" spans="1:9" x14ac:dyDescent="0.2">
      <c r="A3" s="105" t="s">
        <v>724</v>
      </c>
    </row>
    <row r="4" spans="1:9" x14ac:dyDescent="0.2">
      <c r="A4" s="105" t="s">
        <v>896</v>
      </c>
    </row>
    <row r="6" spans="1:9" x14ac:dyDescent="0.2">
      <c r="A6" s="105" t="s">
        <v>700</v>
      </c>
    </row>
    <row r="11" spans="1:9" ht="15" thickBot="1" x14ac:dyDescent="0.25">
      <c r="E11" s="27" t="s">
        <v>205</v>
      </c>
    </row>
    <row r="12" spans="1:9" ht="15.75" thickTop="1" thickBot="1" x14ac:dyDescent="0.25">
      <c r="A12" t="s">
        <v>475</v>
      </c>
      <c r="E12" s="28"/>
    </row>
    <row r="13" spans="1:9" ht="15" thickTop="1" x14ac:dyDescent="0.2">
      <c r="E13" s="107"/>
    </row>
    <row r="14" spans="1:9" x14ac:dyDescent="0.2">
      <c r="A14" s="161" t="s">
        <v>933</v>
      </c>
      <c r="E14" s="107"/>
    </row>
    <row r="15" spans="1:9" x14ac:dyDescent="0.2">
      <c r="E15" s="107"/>
    </row>
    <row r="16" spans="1:9" x14ac:dyDescent="0.2">
      <c r="E16" s="107"/>
    </row>
    <row r="17" spans="1:10" x14ac:dyDescent="0.2">
      <c r="H17" s="108"/>
      <c r="I17" s="108"/>
      <c r="J17" s="108"/>
    </row>
    <row r="18" spans="1:10" ht="15" x14ac:dyDescent="0.25">
      <c r="A18" s="68" t="s">
        <v>476</v>
      </c>
      <c r="F18" s="68"/>
      <c r="J18" s="107"/>
    </row>
    <row r="20" spans="1:10" ht="15" thickBot="1" x14ac:dyDescent="0.25">
      <c r="C20" s="109" t="s">
        <v>477</v>
      </c>
      <c r="D20" s="106"/>
      <c r="E20" s="109"/>
    </row>
    <row r="21" spans="1:10" ht="15" thickBot="1" x14ac:dyDescent="0.25">
      <c r="D21" s="37">
        <f>IF(E12=0,0,'Indexed B-Service Area Summary'!I143)</f>
        <v>0</v>
      </c>
    </row>
    <row r="24" spans="1:10" x14ac:dyDescent="0.2">
      <c r="A24" s="105" t="s">
        <v>725</v>
      </c>
    </row>
    <row r="25" spans="1:10" x14ac:dyDescent="0.2">
      <c r="A25" s="105" t="s">
        <v>726</v>
      </c>
    </row>
    <row r="26" spans="1:10" x14ac:dyDescent="0.2">
      <c r="A26" s="105" t="s">
        <v>727</v>
      </c>
    </row>
    <row r="27" spans="1:10" x14ac:dyDescent="0.2">
      <c r="A27" s="105"/>
    </row>
    <row r="28" spans="1:10" ht="18.75" x14ac:dyDescent="0.3">
      <c r="A28" s="111" t="s">
        <v>711</v>
      </c>
    </row>
    <row r="30" spans="1:10" ht="18.75" x14ac:dyDescent="0.3">
      <c r="A30" s="111" t="s">
        <v>710</v>
      </c>
    </row>
    <row r="31" spans="1:10" x14ac:dyDescent="0.2">
      <c r="A31" s="112">
        <v>2018</v>
      </c>
      <c r="B31" s="112">
        <v>2019</v>
      </c>
      <c r="C31" s="112">
        <v>2020</v>
      </c>
      <c r="D31" s="112">
        <v>2021</v>
      </c>
      <c r="E31" s="112">
        <v>2022</v>
      </c>
      <c r="F31" s="112" t="s">
        <v>407</v>
      </c>
    </row>
    <row r="32" spans="1:10" x14ac:dyDescent="0.2">
      <c r="A32" s="113">
        <f>INDEX(DWELLTMINUS4,index)</f>
        <v>1988</v>
      </c>
      <c r="B32" s="113">
        <f>INDEX(DWELLTMINUS3,index)</f>
        <v>1990</v>
      </c>
      <c r="C32" s="113">
        <f>INDEX(DWELLTMINUS2,index)</f>
        <v>2003</v>
      </c>
      <c r="D32" s="113">
        <f>INDEX(DWELLTMINUS1,index)</f>
        <v>2013</v>
      </c>
      <c r="E32" s="113">
        <f>$E$12</f>
        <v>0</v>
      </c>
      <c r="F32" s="113">
        <f>AVERAGEIF(A32:E32,"&gt;0",A32:E32)</f>
        <v>1998.5</v>
      </c>
    </row>
    <row r="51" spans="1:6" ht="18.75" x14ac:dyDescent="0.3">
      <c r="A51" s="111" t="s">
        <v>712</v>
      </c>
    </row>
    <row r="52" spans="1:6" x14ac:dyDescent="0.2">
      <c r="A52" s="112">
        <v>2017</v>
      </c>
      <c r="B52" s="112">
        <v>2018</v>
      </c>
      <c r="C52" s="112">
        <v>2019</v>
      </c>
      <c r="D52" s="112">
        <v>2020</v>
      </c>
      <c r="E52" s="112">
        <v>2021</v>
      </c>
      <c r="F52" s="112" t="s">
        <v>407</v>
      </c>
    </row>
    <row r="53" spans="1:6" x14ac:dyDescent="0.2">
      <c r="A53" s="113">
        <f>INDEX(POPTMINUS4,index)</f>
        <v>6092</v>
      </c>
      <c r="B53" s="113">
        <f>INDEX(POPTMINUS3,index)</f>
        <v>6143</v>
      </c>
      <c r="C53" s="113">
        <f>INDEX(POPTMINUS2,index)</f>
        <v>6150</v>
      </c>
      <c r="D53" s="113">
        <f>INDEX(POPTMINUS1,index)</f>
        <v>6254</v>
      </c>
      <c r="E53" s="113">
        <f>$D$21</f>
        <v>0</v>
      </c>
      <c r="F53" s="113">
        <f>AVERAGEIF(A53:E53,"&gt;0",A53:E53)</f>
        <v>6159.75</v>
      </c>
    </row>
    <row r="74" spans="1:4" x14ac:dyDescent="0.2">
      <c r="A74" s="110" t="s">
        <v>701</v>
      </c>
      <c r="B74" s="110"/>
      <c r="C74" s="166">
        <f ca="1">TODAY()</f>
        <v>44972</v>
      </c>
      <c r="D74" s="167"/>
    </row>
  </sheetData>
  <mergeCells count="1">
    <mergeCell ref="C74:D74"/>
  </mergeCells>
  <pageMargins left="0.7" right="0.7" top="0.75" bottom="0.75" header="0.3" footer="0.3"/>
  <pageSetup scale="65" orientation="portrait" r:id="rId1"/>
  <headerFooter>
    <oddHeader>&amp;F</oddHeader>
    <oddFooter>Page &amp;P of &amp;N</oddFooter>
  </headerFooter>
  <rowBreaks count="1" manualBreakCount="1">
    <brk id="75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Drop Down 1">
              <controlPr defaultSize="0" autoLine="0" autoPict="0">
                <anchor moveWithCells="1">
                  <from>
                    <xdr:col>0</xdr:col>
                    <xdr:colOff>0</xdr:colOff>
                    <xdr:row>6</xdr:row>
                    <xdr:rowOff>38100</xdr:rowOff>
                  </from>
                  <to>
                    <xdr:col>8</xdr:col>
                    <xdr:colOff>638175</xdr:colOff>
                    <xdr:row>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5"/>
  <sheetViews>
    <sheetView workbookViewId="0">
      <selection activeCell="A2" sqref="A2"/>
    </sheetView>
  </sheetViews>
  <sheetFormatPr defaultColWidth="8.75" defaultRowHeight="15" x14ac:dyDescent="0.25"/>
  <cols>
    <col min="1" max="1" width="12" style="157" bestFit="1" customWidth="1"/>
    <col min="2" max="2" width="13.875" style="157" bestFit="1" customWidth="1"/>
    <col min="3" max="3" width="42.625" style="157" bestFit="1" customWidth="1"/>
    <col min="4" max="4" width="11.375" style="157" bestFit="1" customWidth="1"/>
    <col min="5" max="16384" width="8.75" style="157"/>
  </cols>
  <sheetData>
    <row r="1" spans="1:4" x14ac:dyDescent="0.25">
      <c r="A1" t="s">
        <v>745</v>
      </c>
      <c r="B1" t="s">
        <v>743</v>
      </c>
      <c r="C1" s="156" t="s">
        <v>744</v>
      </c>
      <c r="D1" t="s">
        <v>952</v>
      </c>
    </row>
    <row r="2" spans="1:4" x14ac:dyDescent="0.25">
      <c r="A2">
        <v>718</v>
      </c>
      <c r="B2" t="s">
        <v>50</v>
      </c>
      <c r="C2" s="156" t="s">
        <v>107</v>
      </c>
      <c r="D2">
        <v>548</v>
      </c>
    </row>
    <row r="3" spans="1:4" x14ac:dyDescent="0.25">
      <c r="A3">
        <v>871</v>
      </c>
      <c r="B3" t="s">
        <v>50</v>
      </c>
      <c r="C3" s="156" t="s">
        <v>81</v>
      </c>
      <c r="D3">
        <v>915</v>
      </c>
    </row>
    <row r="4" spans="1:4" x14ac:dyDescent="0.25">
      <c r="A4">
        <v>1512</v>
      </c>
      <c r="B4" t="s">
        <v>50</v>
      </c>
      <c r="C4" s="156" t="s">
        <v>12</v>
      </c>
      <c r="D4">
        <v>30</v>
      </c>
    </row>
    <row r="5" spans="1:4" x14ac:dyDescent="0.25">
      <c r="A5">
        <v>3522</v>
      </c>
      <c r="B5" t="s">
        <v>50</v>
      </c>
      <c r="C5" s="156" t="s">
        <v>49</v>
      </c>
      <c r="D5">
        <v>31</v>
      </c>
    </row>
    <row r="6" spans="1:4" x14ac:dyDescent="0.25">
      <c r="A6">
        <v>7104</v>
      </c>
      <c r="B6" t="s">
        <v>50</v>
      </c>
      <c r="C6" s="156" t="s">
        <v>49</v>
      </c>
      <c r="D6">
        <v>1568</v>
      </c>
    </row>
    <row r="7" spans="1:4" x14ac:dyDescent="0.25">
      <c r="A7">
        <v>99913</v>
      </c>
      <c r="B7" t="s">
        <v>50</v>
      </c>
      <c r="C7" s="156" t="s">
        <v>103</v>
      </c>
      <c r="D7">
        <v>2</v>
      </c>
    </row>
    <row r="8" spans="1:4" x14ac:dyDescent="0.25">
      <c r="A8">
        <v>99916</v>
      </c>
      <c r="B8" t="s">
        <v>50</v>
      </c>
      <c r="C8" s="156" t="s">
        <v>6</v>
      </c>
      <c r="D8">
        <v>6</v>
      </c>
    </row>
    <row r="9" spans="1:4" x14ac:dyDescent="0.25">
      <c r="A9">
        <v>207</v>
      </c>
      <c r="B9" t="s">
        <v>24</v>
      </c>
      <c r="C9" s="156" t="s">
        <v>64</v>
      </c>
      <c r="D9">
        <v>406</v>
      </c>
    </row>
    <row r="10" spans="1:4" x14ac:dyDescent="0.25">
      <c r="A10">
        <v>419</v>
      </c>
      <c r="B10" t="s">
        <v>24</v>
      </c>
      <c r="C10" s="156" t="s">
        <v>25</v>
      </c>
      <c r="D10">
        <v>75</v>
      </c>
    </row>
    <row r="11" spans="1:4" x14ac:dyDescent="0.25">
      <c r="A11">
        <v>729</v>
      </c>
      <c r="B11" t="s">
        <v>24</v>
      </c>
      <c r="C11" s="156" t="s">
        <v>52</v>
      </c>
      <c r="D11">
        <v>1</v>
      </c>
    </row>
    <row r="12" spans="1:4" x14ac:dyDescent="0.25">
      <c r="A12">
        <v>1118</v>
      </c>
      <c r="B12" t="s">
        <v>24</v>
      </c>
      <c r="C12" s="156" t="s">
        <v>104</v>
      </c>
      <c r="D12">
        <v>10</v>
      </c>
    </row>
    <row r="13" spans="1:4" x14ac:dyDescent="0.25">
      <c r="A13">
        <v>2842</v>
      </c>
      <c r="B13" t="s">
        <v>24</v>
      </c>
      <c r="C13" s="156" t="s">
        <v>52</v>
      </c>
      <c r="D13">
        <v>8</v>
      </c>
    </row>
    <row r="14" spans="1:4" x14ac:dyDescent="0.25">
      <c r="A14">
        <v>4153</v>
      </c>
      <c r="B14" t="s">
        <v>24</v>
      </c>
      <c r="C14" s="156" t="s">
        <v>144</v>
      </c>
      <c r="D14">
        <v>5</v>
      </c>
    </row>
    <row r="15" spans="1:4" x14ac:dyDescent="0.25">
      <c r="A15">
        <v>4406</v>
      </c>
      <c r="B15" t="s">
        <v>24</v>
      </c>
      <c r="C15" s="156" t="s">
        <v>13</v>
      </c>
      <c r="D15">
        <v>285</v>
      </c>
    </row>
    <row r="16" spans="1:4" x14ac:dyDescent="0.25">
      <c r="A16">
        <v>4753</v>
      </c>
      <c r="B16" t="s">
        <v>24</v>
      </c>
      <c r="C16" s="156" t="s">
        <v>96</v>
      </c>
      <c r="D16">
        <v>1</v>
      </c>
    </row>
    <row r="17" spans="1:4" x14ac:dyDescent="0.25">
      <c r="A17">
        <v>7121</v>
      </c>
      <c r="B17" t="s">
        <v>24</v>
      </c>
      <c r="C17" s="156" t="s">
        <v>52</v>
      </c>
      <c r="D17">
        <v>130</v>
      </c>
    </row>
    <row r="18" spans="1:4" x14ac:dyDescent="0.25">
      <c r="A18">
        <v>7784</v>
      </c>
      <c r="B18" t="s">
        <v>24</v>
      </c>
      <c r="C18" s="156" t="s">
        <v>52</v>
      </c>
      <c r="D18">
        <v>1</v>
      </c>
    </row>
    <row r="19" spans="1:4" x14ac:dyDescent="0.25">
      <c r="A19">
        <v>9791</v>
      </c>
      <c r="B19" t="s">
        <v>24</v>
      </c>
      <c r="C19" s="156" t="s">
        <v>52</v>
      </c>
      <c r="D19">
        <v>14</v>
      </c>
    </row>
    <row r="20" spans="1:4" x14ac:dyDescent="0.25">
      <c r="A20">
        <v>20230</v>
      </c>
      <c r="B20" t="s">
        <v>24</v>
      </c>
      <c r="C20" s="156" t="s">
        <v>478</v>
      </c>
      <c r="D20">
        <v>51</v>
      </c>
    </row>
    <row r="21" spans="1:4" x14ac:dyDescent="0.25">
      <c r="A21">
        <v>4725</v>
      </c>
      <c r="B21" t="s">
        <v>15</v>
      </c>
      <c r="C21" s="156" t="s">
        <v>14</v>
      </c>
      <c r="D21">
        <v>100</v>
      </c>
    </row>
    <row r="22" spans="1:4" x14ac:dyDescent="0.25">
      <c r="A22">
        <v>4461</v>
      </c>
      <c r="B22" t="s">
        <v>57</v>
      </c>
      <c r="C22" s="156" t="s">
        <v>90</v>
      </c>
      <c r="D22">
        <v>20</v>
      </c>
    </row>
    <row r="23" spans="1:4" x14ac:dyDescent="0.25">
      <c r="A23">
        <v>13026</v>
      </c>
      <c r="B23" t="s">
        <v>57</v>
      </c>
      <c r="C23" s="156" t="s">
        <v>111</v>
      </c>
      <c r="D23">
        <v>77</v>
      </c>
    </row>
    <row r="24" spans="1:4" x14ac:dyDescent="0.25">
      <c r="A24">
        <v>5789</v>
      </c>
      <c r="B24" t="s">
        <v>26</v>
      </c>
      <c r="C24" s="156" t="s">
        <v>112</v>
      </c>
      <c r="D24">
        <v>1084</v>
      </c>
    </row>
    <row r="25" spans="1:4" x14ac:dyDescent="0.25">
      <c r="A25">
        <v>7627</v>
      </c>
      <c r="B25" t="s">
        <v>26</v>
      </c>
      <c r="C25" s="156" t="s">
        <v>59</v>
      </c>
      <c r="D25">
        <v>67</v>
      </c>
    </row>
    <row r="26" spans="1:4" x14ac:dyDescent="0.25">
      <c r="A26">
        <v>4167</v>
      </c>
      <c r="B26" t="s">
        <v>27</v>
      </c>
      <c r="C26" s="156" t="s">
        <v>713</v>
      </c>
      <c r="D26">
        <v>6</v>
      </c>
    </row>
    <row r="27" spans="1:4" x14ac:dyDescent="0.25">
      <c r="A27">
        <v>4492</v>
      </c>
      <c r="B27" t="s">
        <v>27</v>
      </c>
      <c r="C27" s="156" t="s">
        <v>85</v>
      </c>
      <c r="D27">
        <v>633</v>
      </c>
    </row>
    <row r="28" spans="1:4" x14ac:dyDescent="0.25">
      <c r="A28">
        <v>4980</v>
      </c>
      <c r="B28" t="s">
        <v>27</v>
      </c>
      <c r="C28" s="156" t="s">
        <v>122</v>
      </c>
      <c r="D28">
        <v>3</v>
      </c>
    </row>
    <row r="29" spans="1:4" x14ac:dyDescent="0.25">
      <c r="A29">
        <v>5270</v>
      </c>
      <c r="B29" t="s">
        <v>27</v>
      </c>
      <c r="C29" s="156" t="s">
        <v>169</v>
      </c>
      <c r="D29">
        <v>326</v>
      </c>
    </row>
    <row r="30" spans="1:4" x14ac:dyDescent="0.25">
      <c r="A30">
        <v>6029</v>
      </c>
      <c r="B30" t="s">
        <v>27</v>
      </c>
      <c r="C30" s="156" t="s">
        <v>54</v>
      </c>
      <c r="D30">
        <v>232</v>
      </c>
    </row>
    <row r="31" spans="1:4" x14ac:dyDescent="0.25">
      <c r="A31">
        <v>13099</v>
      </c>
      <c r="B31" t="s">
        <v>27</v>
      </c>
      <c r="C31" s="156" t="s">
        <v>156</v>
      </c>
      <c r="D31">
        <v>130</v>
      </c>
    </row>
    <row r="32" spans="1:4" x14ac:dyDescent="0.25">
      <c r="A32">
        <v>450</v>
      </c>
      <c r="B32" t="s">
        <v>38</v>
      </c>
      <c r="C32" s="156" t="s">
        <v>88</v>
      </c>
      <c r="D32">
        <v>933</v>
      </c>
    </row>
    <row r="33" spans="1:4" x14ac:dyDescent="0.25">
      <c r="A33">
        <v>1776</v>
      </c>
      <c r="B33" t="s">
        <v>38</v>
      </c>
      <c r="C33" s="156" t="s">
        <v>79</v>
      </c>
      <c r="D33">
        <v>589</v>
      </c>
    </row>
    <row r="34" spans="1:4" x14ac:dyDescent="0.25">
      <c r="A34">
        <v>1787</v>
      </c>
      <c r="B34" t="s">
        <v>38</v>
      </c>
      <c r="C34" s="156" t="s">
        <v>113</v>
      </c>
      <c r="D34">
        <v>1</v>
      </c>
    </row>
    <row r="35" spans="1:4" x14ac:dyDescent="0.25">
      <c r="A35">
        <v>2062</v>
      </c>
      <c r="B35" t="s">
        <v>38</v>
      </c>
      <c r="C35" s="156" t="s">
        <v>86</v>
      </c>
      <c r="D35">
        <v>22490</v>
      </c>
    </row>
    <row r="36" spans="1:4" x14ac:dyDescent="0.25">
      <c r="A36">
        <v>2707</v>
      </c>
      <c r="B36" t="s">
        <v>38</v>
      </c>
      <c r="C36" s="156" t="s">
        <v>482</v>
      </c>
      <c r="D36">
        <v>4</v>
      </c>
    </row>
    <row r="37" spans="1:4" x14ac:dyDescent="0.25">
      <c r="A37">
        <v>20141</v>
      </c>
      <c r="B37" t="s">
        <v>38</v>
      </c>
      <c r="C37" s="156" t="s">
        <v>113</v>
      </c>
      <c r="D37">
        <v>2366</v>
      </c>
    </row>
    <row r="38" spans="1:4" x14ac:dyDescent="0.25">
      <c r="A38">
        <v>5640</v>
      </c>
      <c r="B38" t="s">
        <v>28</v>
      </c>
      <c r="C38" s="156" t="s">
        <v>93</v>
      </c>
      <c r="D38">
        <v>9</v>
      </c>
    </row>
    <row r="39" spans="1:4" x14ac:dyDescent="0.25">
      <c r="A39">
        <v>7755</v>
      </c>
      <c r="B39" t="s">
        <v>28</v>
      </c>
      <c r="C39" s="156" t="s">
        <v>171</v>
      </c>
      <c r="D39">
        <v>1</v>
      </c>
    </row>
    <row r="40" spans="1:4" x14ac:dyDescent="0.25">
      <c r="A40">
        <v>8953</v>
      </c>
      <c r="B40" t="s">
        <v>28</v>
      </c>
      <c r="C40" s="156" t="s">
        <v>167</v>
      </c>
      <c r="D40">
        <v>50</v>
      </c>
    </row>
    <row r="41" spans="1:4" x14ac:dyDescent="0.25">
      <c r="A41">
        <v>6392</v>
      </c>
      <c r="B41" t="s">
        <v>19</v>
      </c>
      <c r="C41" s="156" t="s">
        <v>58</v>
      </c>
      <c r="D41">
        <v>1132</v>
      </c>
    </row>
    <row r="42" spans="1:4" x14ac:dyDescent="0.25">
      <c r="A42">
        <v>10963</v>
      </c>
      <c r="B42" t="s">
        <v>19</v>
      </c>
      <c r="C42" s="156" t="s">
        <v>170</v>
      </c>
      <c r="D42">
        <v>1288</v>
      </c>
    </row>
    <row r="43" spans="1:4" x14ac:dyDescent="0.25">
      <c r="A43">
        <v>12443</v>
      </c>
      <c r="B43" t="s">
        <v>19</v>
      </c>
      <c r="C43" s="156" t="s">
        <v>78</v>
      </c>
      <c r="D43">
        <v>14</v>
      </c>
    </row>
    <row r="44" spans="1:4" x14ac:dyDescent="0.25">
      <c r="A44">
        <v>13343</v>
      </c>
      <c r="B44" t="s">
        <v>19</v>
      </c>
      <c r="C44" s="156" t="s">
        <v>748</v>
      </c>
      <c r="D44">
        <v>7769</v>
      </c>
    </row>
    <row r="45" spans="1:4" x14ac:dyDescent="0.25">
      <c r="A45">
        <v>1156</v>
      </c>
      <c r="B45" t="s">
        <v>29</v>
      </c>
      <c r="C45" s="156" t="s">
        <v>717</v>
      </c>
      <c r="D45">
        <v>127</v>
      </c>
    </row>
    <row r="46" spans="1:4" x14ac:dyDescent="0.25">
      <c r="A46">
        <v>6151</v>
      </c>
      <c r="B46" t="s">
        <v>29</v>
      </c>
      <c r="C46" s="156" t="s">
        <v>127</v>
      </c>
      <c r="D46">
        <v>255</v>
      </c>
    </row>
    <row r="47" spans="1:4" x14ac:dyDescent="0.25">
      <c r="A47">
        <v>8339</v>
      </c>
      <c r="B47" t="s">
        <v>29</v>
      </c>
      <c r="C47" s="156" t="s">
        <v>68</v>
      </c>
      <c r="D47">
        <v>141</v>
      </c>
    </row>
    <row r="48" spans="1:4" x14ac:dyDescent="0.25">
      <c r="A48">
        <v>8481</v>
      </c>
      <c r="B48" t="s">
        <v>29</v>
      </c>
      <c r="C48" s="156" t="s">
        <v>11</v>
      </c>
      <c r="D48">
        <v>1</v>
      </c>
    </row>
    <row r="49" spans="1:4" x14ac:dyDescent="0.25">
      <c r="A49">
        <v>20213</v>
      </c>
      <c r="B49" t="s">
        <v>29</v>
      </c>
      <c r="C49" s="156" t="s">
        <v>483</v>
      </c>
      <c r="D49">
        <v>1</v>
      </c>
    </row>
    <row r="50" spans="1:4" x14ac:dyDescent="0.25">
      <c r="A50">
        <v>279</v>
      </c>
      <c r="B50" t="s">
        <v>20</v>
      </c>
      <c r="C50" s="156" t="s">
        <v>483</v>
      </c>
      <c r="D50">
        <v>1</v>
      </c>
    </row>
    <row r="51" spans="1:4" x14ac:dyDescent="0.25">
      <c r="A51">
        <v>590</v>
      </c>
      <c r="B51" t="s">
        <v>20</v>
      </c>
      <c r="C51" s="156" t="s">
        <v>483</v>
      </c>
      <c r="D51">
        <v>1</v>
      </c>
    </row>
    <row r="52" spans="1:4" x14ac:dyDescent="0.25">
      <c r="A52">
        <v>1631</v>
      </c>
      <c r="B52" t="s">
        <v>20</v>
      </c>
      <c r="C52" s="156" t="s">
        <v>65</v>
      </c>
      <c r="D52">
        <v>124</v>
      </c>
    </row>
    <row r="53" spans="1:4" x14ac:dyDescent="0.25">
      <c r="A53">
        <v>2978</v>
      </c>
      <c r="B53" t="s">
        <v>20</v>
      </c>
      <c r="C53" s="156" t="s">
        <v>483</v>
      </c>
      <c r="D53">
        <v>11</v>
      </c>
    </row>
    <row r="54" spans="1:4" x14ac:dyDescent="0.25">
      <c r="A54">
        <v>3182</v>
      </c>
      <c r="B54" t="s">
        <v>20</v>
      </c>
      <c r="C54" s="156" t="s">
        <v>483</v>
      </c>
      <c r="D54">
        <v>15</v>
      </c>
    </row>
    <row r="55" spans="1:4" x14ac:dyDescent="0.25">
      <c r="A55">
        <v>3692</v>
      </c>
      <c r="B55" t="s">
        <v>20</v>
      </c>
      <c r="C55" s="156" t="s">
        <v>80</v>
      </c>
      <c r="D55">
        <v>417</v>
      </c>
    </row>
    <row r="56" spans="1:4" x14ac:dyDescent="0.25">
      <c r="A56">
        <v>4669</v>
      </c>
      <c r="B56" t="s">
        <v>20</v>
      </c>
      <c r="C56" s="156" t="s">
        <v>115</v>
      </c>
      <c r="D56">
        <v>82</v>
      </c>
    </row>
    <row r="57" spans="1:4" x14ac:dyDescent="0.25">
      <c r="A57">
        <v>4734</v>
      </c>
      <c r="B57" t="s">
        <v>20</v>
      </c>
      <c r="C57" s="156" t="s">
        <v>3</v>
      </c>
      <c r="D57">
        <v>640</v>
      </c>
    </row>
    <row r="58" spans="1:4" x14ac:dyDescent="0.25">
      <c r="A58">
        <v>6040</v>
      </c>
      <c r="B58" t="s">
        <v>20</v>
      </c>
      <c r="C58" s="156" t="s">
        <v>95</v>
      </c>
      <c r="D58">
        <v>258</v>
      </c>
    </row>
    <row r="59" spans="1:4" x14ac:dyDescent="0.25">
      <c r="A59">
        <v>6223</v>
      </c>
      <c r="B59" t="s">
        <v>20</v>
      </c>
      <c r="C59" s="156" t="s">
        <v>483</v>
      </c>
      <c r="D59">
        <v>69</v>
      </c>
    </row>
    <row r="60" spans="1:4" x14ac:dyDescent="0.25">
      <c r="A60">
        <v>8417</v>
      </c>
      <c r="B60" t="s">
        <v>20</v>
      </c>
      <c r="C60" s="156" t="s">
        <v>483</v>
      </c>
      <c r="D60">
        <v>145</v>
      </c>
    </row>
    <row r="61" spans="1:4" x14ac:dyDescent="0.25">
      <c r="A61">
        <v>11863</v>
      </c>
      <c r="B61" t="s">
        <v>20</v>
      </c>
      <c r="C61" s="156" t="s">
        <v>0</v>
      </c>
      <c r="D61">
        <v>3366</v>
      </c>
    </row>
    <row r="62" spans="1:4" x14ac:dyDescent="0.25">
      <c r="A62">
        <v>742</v>
      </c>
      <c r="B62" t="s">
        <v>21</v>
      </c>
      <c r="C62" s="156" t="s">
        <v>87</v>
      </c>
      <c r="D62">
        <v>334</v>
      </c>
    </row>
    <row r="63" spans="1:4" x14ac:dyDescent="0.25">
      <c r="A63">
        <v>2980</v>
      </c>
      <c r="B63" t="s">
        <v>21</v>
      </c>
      <c r="C63" s="156" t="s">
        <v>67</v>
      </c>
      <c r="D63">
        <v>628</v>
      </c>
    </row>
    <row r="64" spans="1:4" x14ac:dyDescent="0.25">
      <c r="A64">
        <v>2981</v>
      </c>
      <c r="B64" t="s">
        <v>21</v>
      </c>
      <c r="C64" s="156" t="s">
        <v>62</v>
      </c>
      <c r="D64">
        <v>6758</v>
      </c>
    </row>
    <row r="65" spans="1:4" x14ac:dyDescent="0.25">
      <c r="A65">
        <v>7692</v>
      </c>
      <c r="B65" t="s">
        <v>21</v>
      </c>
      <c r="C65" s="156" t="s">
        <v>165</v>
      </c>
      <c r="D65">
        <v>35</v>
      </c>
    </row>
    <row r="66" spans="1:4" x14ac:dyDescent="0.25">
      <c r="A66">
        <v>10795</v>
      </c>
      <c r="B66" t="s">
        <v>21</v>
      </c>
      <c r="C66" s="156" t="s">
        <v>30</v>
      </c>
      <c r="D66">
        <v>46</v>
      </c>
    </row>
    <row r="67" spans="1:4" x14ac:dyDescent="0.25">
      <c r="A67">
        <v>11218</v>
      </c>
      <c r="B67" t="s">
        <v>21</v>
      </c>
      <c r="C67" s="156" t="s">
        <v>31</v>
      </c>
      <c r="D67">
        <v>476</v>
      </c>
    </row>
    <row r="68" spans="1:4" x14ac:dyDescent="0.25">
      <c r="A68">
        <v>11245</v>
      </c>
      <c r="B68" t="s">
        <v>21</v>
      </c>
      <c r="C68" s="156" t="s">
        <v>82</v>
      </c>
      <c r="D68">
        <v>227</v>
      </c>
    </row>
    <row r="69" spans="1:4" x14ac:dyDescent="0.25">
      <c r="A69">
        <v>12351</v>
      </c>
      <c r="B69" t="s">
        <v>21</v>
      </c>
      <c r="C69" s="156" t="s">
        <v>32</v>
      </c>
      <c r="D69">
        <v>551</v>
      </c>
    </row>
    <row r="70" spans="1:4" x14ac:dyDescent="0.25">
      <c r="A70">
        <v>20142</v>
      </c>
      <c r="B70" t="s">
        <v>21</v>
      </c>
      <c r="C70" s="156" t="s">
        <v>138</v>
      </c>
      <c r="D70">
        <v>13455</v>
      </c>
    </row>
    <row r="71" spans="1:4" x14ac:dyDescent="0.25">
      <c r="A71">
        <v>20143</v>
      </c>
      <c r="B71" t="s">
        <v>21</v>
      </c>
      <c r="C71" s="156" t="s">
        <v>9</v>
      </c>
      <c r="D71">
        <v>4859</v>
      </c>
    </row>
    <row r="72" spans="1:4" x14ac:dyDescent="0.25">
      <c r="A72">
        <v>341</v>
      </c>
      <c r="B72" t="s">
        <v>22</v>
      </c>
      <c r="C72" s="156" t="s">
        <v>55</v>
      </c>
      <c r="D72">
        <v>323</v>
      </c>
    </row>
    <row r="73" spans="1:4" x14ac:dyDescent="0.25">
      <c r="A73">
        <v>645</v>
      </c>
      <c r="B73" t="s">
        <v>22</v>
      </c>
      <c r="C73" s="156" t="s">
        <v>70</v>
      </c>
      <c r="D73">
        <v>1</v>
      </c>
    </row>
    <row r="74" spans="1:4" x14ac:dyDescent="0.25">
      <c r="A74">
        <v>2332</v>
      </c>
      <c r="B74" t="s">
        <v>22</v>
      </c>
      <c r="C74" s="156" t="s">
        <v>168</v>
      </c>
      <c r="D74">
        <v>48</v>
      </c>
    </row>
    <row r="75" spans="1:4" x14ac:dyDescent="0.25">
      <c r="A75">
        <v>2449</v>
      </c>
      <c r="B75" t="s">
        <v>22</v>
      </c>
      <c r="C75" s="156" t="s">
        <v>158</v>
      </c>
      <c r="D75">
        <v>1</v>
      </c>
    </row>
    <row r="76" spans="1:4" x14ac:dyDescent="0.25">
      <c r="A76">
        <v>4005</v>
      </c>
      <c r="B76" t="s">
        <v>22</v>
      </c>
      <c r="C76" s="156" t="s">
        <v>136</v>
      </c>
      <c r="D76">
        <v>1</v>
      </c>
    </row>
    <row r="77" spans="1:4" x14ac:dyDescent="0.25">
      <c r="A77">
        <v>4607</v>
      </c>
      <c r="B77" t="s">
        <v>22</v>
      </c>
      <c r="C77" s="156" t="s">
        <v>94</v>
      </c>
      <c r="D77">
        <v>1835</v>
      </c>
    </row>
    <row r="78" spans="1:4" x14ac:dyDescent="0.25">
      <c r="A78">
        <v>4658</v>
      </c>
      <c r="B78" t="s">
        <v>22</v>
      </c>
      <c r="C78" s="156" t="s">
        <v>74</v>
      </c>
      <c r="D78">
        <v>467</v>
      </c>
    </row>
    <row r="79" spans="1:4" x14ac:dyDescent="0.25">
      <c r="A79">
        <v>4912</v>
      </c>
      <c r="B79" t="s">
        <v>22</v>
      </c>
      <c r="C79" s="156" t="s">
        <v>75</v>
      </c>
      <c r="D79">
        <v>3837</v>
      </c>
    </row>
    <row r="80" spans="1:4" x14ac:dyDescent="0.25">
      <c r="A80">
        <v>5251</v>
      </c>
      <c r="B80" t="s">
        <v>22</v>
      </c>
      <c r="C80" s="156" t="s">
        <v>109</v>
      </c>
      <c r="D80">
        <v>5</v>
      </c>
    </row>
    <row r="81" spans="1:4" x14ac:dyDescent="0.25">
      <c r="A81">
        <v>5750</v>
      </c>
      <c r="B81" t="s">
        <v>22</v>
      </c>
      <c r="C81" s="156" t="s">
        <v>66</v>
      </c>
      <c r="D81">
        <v>102</v>
      </c>
    </row>
    <row r="82" spans="1:4" x14ac:dyDescent="0.25">
      <c r="A82">
        <v>5870</v>
      </c>
      <c r="B82" t="s">
        <v>22</v>
      </c>
      <c r="C82" s="156" t="s">
        <v>71</v>
      </c>
      <c r="D82">
        <v>9</v>
      </c>
    </row>
    <row r="83" spans="1:4" x14ac:dyDescent="0.25">
      <c r="A83">
        <v>5893</v>
      </c>
      <c r="B83" t="s">
        <v>22</v>
      </c>
      <c r="C83" s="156" t="s">
        <v>166</v>
      </c>
      <c r="D83">
        <v>355</v>
      </c>
    </row>
    <row r="84" spans="1:4" x14ac:dyDescent="0.25">
      <c r="A84">
        <v>6124</v>
      </c>
      <c r="B84" t="s">
        <v>22</v>
      </c>
      <c r="C84" s="156" t="s">
        <v>76</v>
      </c>
      <c r="D84">
        <v>63</v>
      </c>
    </row>
    <row r="85" spans="1:4" x14ac:dyDescent="0.25">
      <c r="A85">
        <v>6505</v>
      </c>
      <c r="B85" t="s">
        <v>22</v>
      </c>
      <c r="C85" s="156" t="s">
        <v>142</v>
      </c>
      <c r="D85">
        <v>3</v>
      </c>
    </row>
    <row r="86" spans="1:4" x14ac:dyDescent="0.25">
      <c r="A86">
        <v>6506</v>
      </c>
      <c r="B86" t="s">
        <v>22</v>
      </c>
      <c r="C86" s="156" t="s">
        <v>142</v>
      </c>
      <c r="D86">
        <v>28</v>
      </c>
    </row>
    <row r="87" spans="1:4" x14ac:dyDescent="0.25">
      <c r="A87">
        <v>6507</v>
      </c>
      <c r="B87" t="s">
        <v>22</v>
      </c>
      <c r="C87" s="156" t="s">
        <v>142</v>
      </c>
      <c r="D87">
        <v>1</v>
      </c>
    </row>
    <row r="88" spans="1:4" x14ac:dyDescent="0.25">
      <c r="A88">
        <v>6508</v>
      </c>
      <c r="B88" t="s">
        <v>22</v>
      </c>
      <c r="C88" s="156" t="s">
        <v>142</v>
      </c>
      <c r="D88">
        <v>67</v>
      </c>
    </row>
    <row r="89" spans="1:4" x14ac:dyDescent="0.25">
      <c r="A89">
        <v>6509</v>
      </c>
      <c r="B89" t="s">
        <v>22</v>
      </c>
      <c r="C89" s="156" t="s">
        <v>142</v>
      </c>
      <c r="D89">
        <v>5796</v>
      </c>
    </row>
    <row r="90" spans="1:4" x14ac:dyDescent="0.25">
      <c r="A90">
        <v>6624</v>
      </c>
      <c r="B90" t="s">
        <v>22</v>
      </c>
      <c r="C90" s="156" t="s">
        <v>73</v>
      </c>
      <c r="D90">
        <v>36</v>
      </c>
    </row>
    <row r="91" spans="1:4" x14ac:dyDescent="0.25">
      <c r="A91">
        <v>6920</v>
      </c>
      <c r="B91" t="s">
        <v>22</v>
      </c>
      <c r="C91" s="156" t="s">
        <v>69</v>
      </c>
      <c r="D91">
        <v>2</v>
      </c>
    </row>
    <row r="92" spans="1:4" x14ac:dyDescent="0.25">
      <c r="A92">
        <v>7119</v>
      </c>
      <c r="B92" t="s">
        <v>22</v>
      </c>
      <c r="C92" s="156" t="s">
        <v>53</v>
      </c>
      <c r="D92">
        <v>100</v>
      </c>
    </row>
    <row r="93" spans="1:4" x14ac:dyDescent="0.25">
      <c r="A93">
        <v>7328</v>
      </c>
      <c r="B93" t="s">
        <v>22</v>
      </c>
      <c r="C93" s="156" t="s">
        <v>44</v>
      </c>
      <c r="D93">
        <v>1</v>
      </c>
    </row>
    <row r="94" spans="1:4" x14ac:dyDescent="0.25">
      <c r="A94">
        <v>8054</v>
      </c>
      <c r="B94" t="s">
        <v>22</v>
      </c>
      <c r="C94" s="156" t="s">
        <v>142</v>
      </c>
      <c r="D94">
        <v>61</v>
      </c>
    </row>
    <row r="95" spans="1:4" x14ac:dyDescent="0.25">
      <c r="A95">
        <v>8468</v>
      </c>
      <c r="B95" t="s">
        <v>22</v>
      </c>
      <c r="C95" s="156" t="s">
        <v>35</v>
      </c>
      <c r="D95">
        <v>2</v>
      </c>
    </row>
    <row r="96" spans="1:4" x14ac:dyDescent="0.25">
      <c r="A96">
        <v>8522</v>
      </c>
      <c r="B96" t="s">
        <v>22</v>
      </c>
      <c r="C96" s="156" t="s">
        <v>72</v>
      </c>
      <c r="D96">
        <v>0</v>
      </c>
    </row>
    <row r="97" spans="1:4" x14ac:dyDescent="0.25">
      <c r="A97">
        <v>12800</v>
      </c>
      <c r="B97" t="s">
        <v>22</v>
      </c>
      <c r="C97" s="156" t="s">
        <v>909</v>
      </c>
      <c r="D97">
        <v>3</v>
      </c>
    </row>
    <row r="98" spans="1:4" x14ac:dyDescent="0.25">
      <c r="A98" s="157">
        <v>2923</v>
      </c>
      <c r="B98" s="157" t="s">
        <v>33</v>
      </c>
      <c r="C98" s="157" t="s">
        <v>77</v>
      </c>
      <c r="D98" s="157">
        <v>233</v>
      </c>
    </row>
    <row r="99" spans="1:4" x14ac:dyDescent="0.25">
      <c r="A99" s="157">
        <v>4318</v>
      </c>
      <c r="B99" s="157" t="s">
        <v>33</v>
      </c>
      <c r="C99" s="157" t="s">
        <v>84</v>
      </c>
      <c r="D99" s="157">
        <v>4195</v>
      </c>
    </row>
    <row r="100" spans="1:4" x14ac:dyDescent="0.25">
      <c r="A100" s="157">
        <v>4866</v>
      </c>
      <c r="B100" s="157" t="s">
        <v>33</v>
      </c>
      <c r="C100" s="157" t="s">
        <v>4</v>
      </c>
      <c r="D100" s="157">
        <v>1105</v>
      </c>
    </row>
    <row r="101" spans="1:4" x14ac:dyDescent="0.25">
      <c r="A101" s="157">
        <v>5393</v>
      </c>
      <c r="B101" s="157" t="s">
        <v>33</v>
      </c>
      <c r="C101" s="157" t="s">
        <v>89</v>
      </c>
      <c r="D101" s="157">
        <v>609</v>
      </c>
    </row>
    <row r="102" spans="1:4" x14ac:dyDescent="0.25">
      <c r="A102" s="157">
        <v>8836</v>
      </c>
      <c r="B102" s="157" t="s">
        <v>33</v>
      </c>
      <c r="C102" s="157" t="s">
        <v>149</v>
      </c>
      <c r="D102" s="157">
        <v>5434</v>
      </c>
    </row>
    <row r="103" spans="1:4" x14ac:dyDescent="0.25">
      <c r="A103" s="157">
        <v>99914</v>
      </c>
      <c r="B103" s="157" t="s">
        <v>33</v>
      </c>
      <c r="C103" s="157" t="s">
        <v>141</v>
      </c>
      <c r="D103" s="157">
        <v>89</v>
      </c>
    </row>
    <row r="104" spans="1:4" x14ac:dyDescent="0.25">
      <c r="A104" s="157">
        <v>8135</v>
      </c>
      <c r="B104" s="157" t="s">
        <v>23</v>
      </c>
      <c r="C104" s="157" t="s">
        <v>92</v>
      </c>
      <c r="D104" s="157">
        <v>4</v>
      </c>
    </row>
    <row r="105" spans="1:4" x14ac:dyDescent="0.25">
      <c r="A105" s="157">
        <v>13005</v>
      </c>
      <c r="B105" s="157" t="s">
        <v>23</v>
      </c>
      <c r="C105" s="157" t="s">
        <v>162</v>
      </c>
      <c r="D105" s="157">
        <v>15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workbookViewId="0">
      <selection activeCell="J3" sqref="J3"/>
    </sheetView>
  </sheetViews>
  <sheetFormatPr defaultColWidth="9" defaultRowHeight="12.75" x14ac:dyDescent="0.2"/>
  <cols>
    <col min="1" max="1" width="5.5" style="48" customWidth="1"/>
    <col min="2" max="2" width="9" style="48"/>
    <col min="3" max="3" width="7.625" style="48" customWidth="1"/>
    <col min="4" max="4" width="6" style="48" customWidth="1"/>
    <col min="5" max="5" width="8.875" style="48" bestFit="1" customWidth="1"/>
    <col min="6" max="6" width="8.875" style="48" customWidth="1"/>
    <col min="7" max="7" width="2.375" style="48" customWidth="1"/>
    <col min="8" max="8" width="5.5" style="48" customWidth="1"/>
    <col min="9" max="9" width="9" style="48"/>
    <col min="10" max="10" width="6.625" style="48" customWidth="1"/>
    <col min="11" max="11" width="6" style="48" customWidth="1"/>
    <col min="12" max="13" width="8.875" style="48" bestFit="1" customWidth="1"/>
    <col min="14" max="16384" width="9" style="48"/>
  </cols>
  <sheetData>
    <row r="1" spans="1:13" ht="18" x14ac:dyDescent="0.25">
      <c r="A1" s="47" t="s">
        <v>289</v>
      </c>
    </row>
    <row r="2" spans="1:13" ht="16.5" customHeight="1" x14ac:dyDescent="0.2">
      <c r="A2" s="48" t="s">
        <v>210</v>
      </c>
      <c r="E2" s="48" t="str">
        <f>INDEX(Utility_Name,index)</f>
        <v>GASPARILLA ISLAND WATER ASSOC.</v>
      </c>
      <c r="I2" s="49"/>
      <c r="L2" s="48" t="s">
        <v>208</v>
      </c>
      <c r="M2" s="48">
        <v>0</v>
      </c>
    </row>
    <row r="3" spans="1:13" x14ac:dyDescent="0.2">
      <c r="A3" s="48" t="s">
        <v>209</v>
      </c>
      <c r="D3" s="50"/>
      <c r="E3" s="48">
        <f>INDEX(WUP,index)</f>
        <v>718</v>
      </c>
    </row>
    <row r="4" spans="1:13" x14ac:dyDescent="0.2">
      <c r="A4" s="48" t="s">
        <v>212</v>
      </c>
      <c r="D4" s="48">
        <v>2022</v>
      </c>
    </row>
    <row r="5" spans="1:13" ht="15.75" x14ac:dyDescent="0.25">
      <c r="A5" s="51" t="s">
        <v>290</v>
      </c>
    </row>
    <row r="6" spans="1:13" x14ac:dyDescent="0.2">
      <c r="A6" s="49" t="s">
        <v>291</v>
      </c>
    </row>
    <row r="7" spans="1:13" ht="13.5" thickBot="1" x14ac:dyDescent="0.25">
      <c r="A7" s="49"/>
    </row>
    <row r="8" spans="1:13" ht="14.25" thickTop="1" thickBot="1" x14ac:dyDescent="0.25">
      <c r="A8" s="52" t="s">
        <v>213</v>
      </c>
      <c r="B8" s="53"/>
      <c r="C8" s="53"/>
      <c r="D8" s="53"/>
      <c r="E8" s="54"/>
      <c r="I8" s="55"/>
    </row>
    <row r="9" spans="1:13" ht="14.25" thickTop="1" thickBot="1" x14ac:dyDescent="0.25">
      <c r="A9" s="56" t="s">
        <v>292</v>
      </c>
      <c r="B9" s="57"/>
      <c r="C9" s="57"/>
      <c r="D9" s="57"/>
      <c r="E9" s="58"/>
      <c r="I9" s="59"/>
    </row>
    <row r="10" spans="1:13" ht="13.5" thickBot="1" x14ac:dyDescent="0.25">
      <c r="A10" s="49"/>
    </row>
    <row r="11" spans="1:13" ht="17.25" thickTop="1" thickBot="1" x14ac:dyDescent="0.3">
      <c r="A11" s="51" t="s">
        <v>293</v>
      </c>
      <c r="H11" s="60" t="s">
        <v>294</v>
      </c>
      <c r="I11" s="61"/>
    </row>
    <row r="12" spans="1:13" ht="16.5" thickTop="1" x14ac:dyDescent="0.25">
      <c r="A12" s="51"/>
    </row>
    <row r="13" spans="1:13" ht="15.75" x14ac:dyDescent="0.25">
      <c r="A13" s="49"/>
      <c r="C13" s="51" t="s">
        <v>295</v>
      </c>
    </row>
    <row r="15" spans="1:13" x14ac:dyDescent="0.2">
      <c r="A15" s="49" t="s">
        <v>296</v>
      </c>
      <c r="H15" s="49" t="s">
        <v>297</v>
      </c>
    </row>
    <row r="16" spans="1:13" x14ac:dyDescent="0.2">
      <c r="A16" s="62"/>
      <c r="B16" s="62"/>
      <c r="C16" s="62" t="s">
        <v>298</v>
      </c>
      <c r="D16" s="62"/>
      <c r="E16" s="62" t="s">
        <v>299</v>
      </c>
      <c r="F16" s="63" t="s">
        <v>239</v>
      </c>
      <c r="J16" s="48" t="s">
        <v>298</v>
      </c>
      <c r="L16" s="48" t="s">
        <v>299</v>
      </c>
      <c r="M16" s="63" t="s">
        <v>239</v>
      </c>
    </row>
    <row r="17" spans="1:13" x14ac:dyDescent="0.2">
      <c r="A17" s="62"/>
      <c r="B17" s="62" t="s">
        <v>300</v>
      </c>
      <c r="C17" s="62" t="s">
        <v>301</v>
      </c>
      <c r="D17" s="62" t="s">
        <v>302</v>
      </c>
      <c r="E17" s="62" t="s">
        <v>218</v>
      </c>
      <c r="F17" s="63" t="s">
        <v>303</v>
      </c>
      <c r="I17" s="48" t="s">
        <v>300</v>
      </c>
      <c r="J17" s="48" t="s">
        <v>304</v>
      </c>
      <c r="K17" s="48" t="s">
        <v>302</v>
      </c>
      <c r="L17" s="48" t="s">
        <v>218</v>
      </c>
      <c r="M17" s="63" t="s">
        <v>303</v>
      </c>
    </row>
    <row r="18" spans="1:13" x14ac:dyDescent="0.2">
      <c r="A18" s="62"/>
      <c r="B18" s="62" t="s">
        <v>305</v>
      </c>
      <c r="C18" s="62" t="s">
        <v>306</v>
      </c>
      <c r="D18" s="62" t="s">
        <v>307</v>
      </c>
      <c r="E18" s="62" t="s">
        <v>219</v>
      </c>
      <c r="F18" s="62" t="s">
        <v>218</v>
      </c>
      <c r="I18" s="48" t="s">
        <v>305</v>
      </c>
      <c r="J18" s="48" t="s">
        <v>306</v>
      </c>
      <c r="K18" s="48" t="s">
        <v>307</v>
      </c>
      <c r="L18" s="48" t="s">
        <v>219</v>
      </c>
      <c r="M18" s="62" t="s">
        <v>218</v>
      </c>
    </row>
    <row r="19" spans="1:13" x14ac:dyDescent="0.2">
      <c r="A19" s="62" t="s">
        <v>308</v>
      </c>
      <c r="B19" s="62" t="s">
        <v>299</v>
      </c>
      <c r="C19" s="62" t="s">
        <v>309</v>
      </c>
      <c r="D19" s="62" t="s">
        <v>310</v>
      </c>
      <c r="E19" s="62" t="s">
        <v>311</v>
      </c>
      <c r="F19" s="62" t="s">
        <v>219</v>
      </c>
      <c r="H19" s="48" t="s">
        <v>308</v>
      </c>
      <c r="I19" s="48" t="s">
        <v>299</v>
      </c>
      <c r="J19" s="48" t="s">
        <v>309</v>
      </c>
      <c r="K19" s="48" t="s">
        <v>310</v>
      </c>
      <c r="L19" s="48" t="s">
        <v>311</v>
      </c>
      <c r="M19" s="62" t="s">
        <v>219</v>
      </c>
    </row>
    <row r="20" spans="1:13" x14ac:dyDescent="0.2">
      <c r="A20" s="62" t="s">
        <v>312</v>
      </c>
      <c r="B20" s="62" t="s">
        <v>313</v>
      </c>
      <c r="C20" s="62" t="s">
        <v>314</v>
      </c>
      <c r="D20" s="62" t="s">
        <v>315</v>
      </c>
      <c r="E20" s="62" t="s">
        <v>313</v>
      </c>
      <c r="F20" s="62" t="s">
        <v>316</v>
      </c>
      <c r="H20" s="48" t="s">
        <v>312</v>
      </c>
      <c r="I20" s="48" t="s">
        <v>313</v>
      </c>
      <c r="J20" s="48" t="s">
        <v>314</v>
      </c>
      <c r="K20" s="48" t="s">
        <v>315</v>
      </c>
      <c r="L20" s="48" t="s">
        <v>313</v>
      </c>
      <c r="M20" s="62" t="s">
        <v>316</v>
      </c>
    </row>
    <row r="21" spans="1:13" x14ac:dyDescent="0.2">
      <c r="A21" s="62"/>
      <c r="B21" s="63" t="s">
        <v>179</v>
      </c>
      <c r="C21" s="63" t="s">
        <v>317</v>
      </c>
      <c r="D21" s="63" t="s">
        <v>195</v>
      </c>
      <c r="E21" s="63" t="s">
        <v>318</v>
      </c>
      <c r="F21" s="63" t="s">
        <v>313</v>
      </c>
      <c r="I21" s="63" t="s">
        <v>179</v>
      </c>
      <c r="J21" s="63" t="s">
        <v>317</v>
      </c>
      <c r="K21" s="63" t="s">
        <v>195</v>
      </c>
      <c r="L21" s="63" t="s">
        <v>318</v>
      </c>
      <c r="M21" s="63" t="s">
        <v>313</v>
      </c>
    </row>
    <row r="22" spans="1:13" ht="13.5" thickBot="1" x14ac:dyDescent="0.25">
      <c r="B22" s="63"/>
      <c r="C22" s="63"/>
      <c r="D22" s="63"/>
      <c r="E22" s="63"/>
      <c r="F22" s="63"/>
      <c r="L22" s="64" t="s">
        <v>319</v>
      </c>
      <c r="M22" s="64" t="s">
        <v>320</v>
      </c>
    </row>
    <row r="23" spans="1:13" ht="14.25" thickTop="1" thickBot="1" x14ac:dyDescent="0.25">
      <c r="E23" s="64" t="s">
        <v>319</v>
      </c>
      <c r="F23" s="64" t="s">
        <v>320</v>
      </c>
      <c r="H23" s="62" t="s">
        <v>321</v>
      </c>
      <c r="I23" s="62">
        <v>1.5</v>
      </c>
      <c r="J23" s="55"/>
      <c r="K23" s="62">
        <v>0.7</v>
      </c>
      <c r="L23" s="65">
        <f t="shared" ref="L23:L32" si="0">(I23*J23)/K23</f>
        <v>0</v>
      </c>
      <c r="M23" s="55"/>
    </row>
    <row r="24" spans="1:13" ht="14.25" thickTop="1" thickBot="1" x14ac:dyDescent="0.25">
      <c r="A24" s="62" t="s">
        <v>322</v>
      </c>
      <c r="B24" s="62">
        <v>2.5</v>
      </c>
      <c r="C24" s="55"/>
      <c r="D24" s="62">
        <v>1</v>
      </c>
      <c r="E24" s="65">
        <f>(B24*C24)/D24</f>
        <v>0</v>
      </c>
      <c r="F24" s="55"/>
      <c r="H24" s="62" t="s">
        <v>322</v>
      </c>
      <c r="I24" s="62">
        <v>2.5</v>
      </c>
      <c r="J24" s="55"/>
      <c r="K24" s="62">
        <v>0.7</v>
      </c>
      <c r="L24" s="65">
        <f t="shared" si="0"/>
        <v>0</v>
      </c>
      <c r="M24" s="55"/>
    </row>
    <row r="25" spans="1:13" ht="14.25" thickTop="1" thickBot="1" x14ac:dyDescent="0.25">
      <c r="A25" s="62" t="s">
        <v>323</v>
      </c>
      <c r="B25" s="62">
        <v>5</v>
      </c>
      <c r="C25" s="55"/>
      <c r="D25" s="62">
        <v>1</v>
      </c>
      <c r="E25" s="65">
        <f t="shared" ref="E25:E32" si="1">(B25*C25)/D25</f>
        <v>0</v>
      </c>
      <c r="F25" s="55"/>
      <c r="H25" s="62" t="s">
        <v>323</v>
      </c>
      <c r="I25" s="62">
        <v>5</v>
      </c>
      <c r="J25" s="55"/>
      <c r="K25" s="62">
        <v>0.7</v>
      </c>
      <c r="L25" s="65">
        <f t="shared" si="0"/>
        <v>0</v>
      </c>
      <c r="M25" s="55"/>
    </row>
    <row r="26" spans="1:13" ht="14.25" thickTop="1" thickBot="1" x14ac:dyDescent="0.25">
      <c r="A26" s="62" t="s">
        <v>324</v>
      </c>
      <c r="B26" s="62">
        <v>8</v>
      </c>
      <c r="C26" s="55"/>
      <c r="D26" s="62">
        <v>1</v>
      </c>
      <c r="E26" s="65">
        <f t="shared" si="1"/>
        <v>0</v>
      </c>
      <c r="F26" s="55"/>
      <c r="H26" s="62" t="s">
        <v>324</v>
      </c>
      <c r="I26" s="62">
        <v>8</v>
      </c>
      <c r="J26" s="55"/>
      <c r="K26" s="62">
        <v>0.7</v>
      </c>
      <c r="L26" s="65">
        <f t="shared" si="0"/>
        <v>0</v>
      </c>
      <c r="M26" s="55"/>
    </row>
    <row r="27" spans="1:13" ht="14.25" thickTop="1" thickBot="1" x14ac:dyDescent="0.25">
      <c r="A27" s="62" t="s">
        <v>325</v>
      </c>
      <c r="B27" s="62">
        <v>17.5</v>
      </c>
      <c r="C27" s="55"/>
      <c r="D27" s="62">
        <v>1</v>
      </c>
      <c r="E27" s="65">
        <f t="shared" si="1"/>
        <v>0</v>
      </c>
      <c r="F27" s="55"/>
      <c r="H27" s="62" t="s">
        <v>325</v>
      </c>
      <c r="I27" s="62">
        <v>17.5</v>
      </c>
      <c r="J27" s="55"/>
      <c r="K27" s="62">
        <v>0.7</v>
      </c>
      <c r="L27" s="65">
        <f t="shared" si="0"/>
        <v>0</v>
      </c>
      <c r="M27" s="55"/>
    </row>
    <row r="28" spans="1:13" ht="14.25" thickTop="1" thickBot="1" x14ac:dyDescent="0.25">
      <c r="A28" s="62" t="s">
        <v>326</v>
      </c>
      <c r="B28" s="62">
        <v>30</v>
      </c>
      <c r="C28" s="55"/>
      <c r="D28" s="62">
        <v>1</v>
      </c>
      <c r="E28" s="65">
        <f t="shared" si="1"/>
        <v>0</v>
      </c>
      <c r="F28" s="55"/>
      <c r="H28" s="62" t="s">
        <v>326</v>
      </c>
      <c r="I28" s="62">
        <v>30</v>
      </c>
      <c r="J28" s="55"/>
      <c r="K28" s="62">
        <v>0.7</v>
      </c>
      <c r="L28" s="65">
        <f t="shared" si="0"/>
        <v>0</v>
      </c>
      <c r="M28" s="55"/>
    </row>
    <row r="29" spans="1:13" ht="14.25" thickTop="1" thickBot="1" x14ac:dyDescent="0.25">
      <c r="A29" s="62" t="s">
        <v>327</v>
      </c>
      <c r="B29" s="62">
        <v>62.5</v>
      </c>
      <c r="C29" s="55"/>
      <c r="D29" s="62">
        <v>1</v>
      </c>
      <c r="E29" s="65">
        <f t="shared" si="1"/>
        <v>0</v>
      </c>
      <c r="F29" s="55"/>
      <c r="H29" s="62" t="s">
        <v>327</v>
      </c>
      <c r="I29" s="62">
        <v>62.5</v>
      </c>
      <c r="J29" s="55"/>
      <c r="K29" s="62">
        <v>0.7</v>
      </c>
      <c r="L29" s="65">
        <f t="shared" si="0"/>
        <v>0</v>
      </c>
      <c r="M29" s="55"/>
    </row>
    <row r="30" spans="1:13" ht="14.25" thickTop="1" thickBot="1" x14ac:dyDescent="0.25">
      <c r="A30" s="62" t="s">
        <v>328</v>
      </c>
      <c r="B30" s="62">
        <v>90</v>
      </c>
      <c r="C30" s="55"/>
      <c r="D30" s="62">
        <v>1</v>
      </c>
      <c r="E30" s="65">
        <f t="shared" si="1"/>
        <v>0</v>
      </c>
      <c r="F30" s="55"/>
      <c r="H30" s="62" t="s">
        <v>328</v>
      </c>
      <c r="I30" s="62">
        <v>90</v>
      </c>
      <c r="J30" s="55"/>
      <c r="K30" s="62">
        <v>0.7</v>
      </c>
      <c r="L30" s="65">
        <f t="shared" si="0"/>
        <v>0</v>
      </c>
      <c r="M30" s="55"/>
    </row>
    <row r="31" spans="1:13" ht="14.25" thickTop="1" thickBot="1" x14ac:dyDescent="0.25">
      <c r="A31" s="62" t="s">
        <v>329</v>
      </c>
      <c r="B31" s="62">
        <v>145</v>
      </c>
      <c r="C31" s="55"/>
      <c r="D31" s="62">
        <v>1</v>
      </c>
      <c r="E31" s="65">
        <f t="shared" si="1"/>
        <v>0</v>
      </c>
      <c r="F31" s="55"/>
      <c r="H31" s="62" t="s">
        <v>329</v>
      </c>
      <c r="I31" s="62">
        <v>145</v>
      </c>
      <c r="J31" s="55"/>
      <c r="K31" s="62">
        <v>0.7</v>
      </c>
      <c r="L31" s="65">
        <f t="shared" si="0"/>
        <v>0</v>
      </c>
      <c r="M31" s="55"/>
    </row>
    <row r="32" spans="1:13" ht="14.25" thickTop="1" thickBot="1" x14ac:dyDescent="0.25">
      <c r="A32" s="62" t="s">
        <v>330</v>
      </c>
      <c r="B32" s="62">
        <v>215</v>
      </c>
      <c r="C32" s="55"/>
      <c r="D32" s="62">
        <v>1</v>
      </c>
      <c r="E32" s="65">
        <f t="shared" si="1"/>
        <v>0</v>
      </c>
      <c r="F32" s="55"/>
      <c r="H32" s="62" t="s">
        <v>330</v>
      </c>
      <c r="I32" s="62">
        <v>215</v>
      </c>
      <c r="J32" s="55"/>
      <c r="K32" s="62">
        <v>0.7</v>
      </c>
      <c r="L32" s="65">
        <f t="shared" si="0"/>
        <v>0</v>
      </c>
      <c r="M32" s="55"/>
    </row>
    <row r="33" spans="1:13" ht="14.25" thickTop="1" thickBot="1" x14ac:dyDescent="0.25">
      <c r="D33" s="49" t="s">
        <v>331</v>
      </c>
      <c r="E33" s="65">
        <f>SUM(E24:E32)</f>
        <v>0</v>
      </c>
      <c r="F33" s="55">
        <f>SUM(F24:F32)</f>
        <v>0</v>
      </c>
      <c r="K33" s="49" t="s">
        <v>331</v>
      </c>
      <c r="L33" s="65">
        <f>SUM(L23:L32)</f>
        <v>0</v>
      </c>
      <c r="M33" s="55">
        <f>SUM(M23:M32)</f>
        <v>0</v>
      </c>
    </row>
    <row r="34" spans="1:13" x14ac:dyDescent="0.2">
      <c r="D34" s="49"/>
      <c r="K34" s="49"/>
    </row>
    <row r="35" spans="1:13" x14ac:dyDescent="0.2">
      <c r="A35" s="49" t="s">
        <v>332</v>
      </c>
      <c r="H35" s="49" t="s">
        <v>333</v>
      </c>
    </row>
    <row r="36" spans="1:13" x14ac:dyDescent="0.2">
      <c r="A36" s="62"/>
      <c r="B36" s="62"/>
      <c r="C36" s="62" t="s">
        <v>298</v>
      </c>
      <c r="D36" s="62"/>
      <c r="E36" s="62" t="s">
        <v>299</v>
      </c>
      <c r="F36" s="63" t="s">
        <v>239</v>
      </c>
      <c r="H36" s="62"/>
      <c r="I36" s="62"/>
      <c r="J36" s="62" t="s">
        <v>298</v>
      </c>
      <c r="K36" s="62"/>
      <c r="L36" s="62" t="s">
        <v>299</v>
      </c>
      <c r="M36" s="63" t="s">
        <v>239</v>
      </c>
    </row>
    <row r="37" spans="1:13" x14ac:dyDescent="0.2">
      <c r="A37" s="62"/>
      <c r="B37" s="62" t="s">
        <v>300</v>
      </c>
      <c r="C37" s="62" t="s">
        <v>334</v>
      </c>
      <c r="D37" s="62" t="s">
        <v>302</v>
      </c>
      <c r="E37" s="62" t="s">
        <v>218</v>
      </c>
      <c r="F37" s="63" t="s">
        <v>303</v>
      </c>
      <c r="H37" s="62"/>
      <c r="I37" s="62" t="s">
        <v>300</v>
      </c>
      <c r="J37" s="62" t="s">
        <v>335</v>
      </c>
      <c r="K37" s="62" t="s">
        <v>302</v>
      </c>
      <c r="L37" s="62" t="s">
        <v>218</v>
      </c>
      <c r="M37" s="63" t="s">
        <v>303</v>
      </c>
    </row>
    <row r="38" spans="1:13" x14ac:dyDescent="0.2">
      <c r="A38" s="62"/>
      <c r="B38" s="62" t="s">
        <v>305</v>
      </c>
      <c r="C38" s="62" t="s">
        <v>336</v>
      </c>
      <c r="D38" s="62" t="s">
        <v>307</v>
      </c>
      <c r="E38" s="62" t="s">
        <v>219</v>
      </c>
      <c r="F38" s="62" t="s">
        <v>218</v>
      </c>
      <c r="H38" s="62"/>
      <c r="I38" s="62" t="s">
        <v>305</v>
      </c>
      <c r="J38" s="62" t="s">
        <v>336</v>
      </c>
      <c r="K38" s="62" t="s">
        <v>307</v>
      </c>
      <c r="L38" s="62" t="s">
        <v>219</v>
      </c>
      <c r="M38" s="62" t="s">
        <v>218</v>
      </c>
    </row>
    <row r="39" spans="1:13" x14ac:dyDescent="0.2">
      <c r="A39" s="62" t="s">
        <v>308</v>
      </c>
      <c r="B39" s="62" t="s">
        <v>299</v>
      </c>
      <c r="C39" s="62" t="s">
        <v>309</v>
      </c>
      <c r="D39" s="62" t="s">
        <v>310</v>
      </c>
      <c r="E39" s="62" t="s">
        <v>311</v>
      </c>
      <c r="F39" s="62" t="s">
        <v>219</v>
      </c>
      <c r="H39" s="62" t="s">
        <v>308</v>
      </c>
      <c r="I39" s="62" t="s">
        <v>299</v>
      </c>
      <c r="J39" s="62" t="s">
        <v>309</v>
      </c>
      <c r="K39" s="62" t="s">
        <v>310</v>
      </c>
      <c r="L39" s="62" t="s">
        <v>311</v>
      </c>
      <c r="M39" s="62" t="s">
        <v>219</v>
      </c>
    </row>
    <row r="40" spans="1:13" x14ac:dyDescent="0.2">
      <c r="A40" s="62" t="s">
        <v>312</v>
      </c>
      <c r="B40" s="62" t="s">
        <v>313</v>
      </c>
      <c r="C40" s="62" t="s">
        <v>314</v>
      </c>
      <c r="D40" s="62" t="s">
        <v>315</v>
      </c>
      <c r="E40" s="62" t="s">
        <v>313</v>
      </c>
      <c r="F40" s="62" t="s">
        <v>316</v>
      </c>
      <c r="H40" s="62" t="s">
        <v>312</v>
      </c>
      <c r="I40" s="62" t="s">
        <v>313</v>
      </c>
      <c r="J40" s="62" t="s">
        <v>314</v>
      </c>
      <c r="K40" s="62" t="s">
        <v>315</v>
      </c>
      <c r="L40" s="62" t="s">
        <v>313</v>
      </c>
      <c r="M40" s="62" t="s">
        <v>316</v>
      </c>
    </row>
    <row r="41" spans="1:13" x14ac:dyDescent="0.2">
      <c r="A41" s="62"/>
      <c r="B41" s="63" t="s">
        <v>179</v>
      </c>
      <c r="C41" s="63" t="s">
        <v>317</v>
      </c>
      <c r="D41" s="63" t="s">
        <v>195</v>
      </c>
      <c r="E41" s="63" t="s">
        <v>318</v>
      </c>
      <c r="F41" s="63" t="s">
        <v>313</v>
      </c>
      <c r="H41" s="62"/>
      <c r="I41" s="63" t="s">
        <v>179</v>
      </c>
      <c r="J41" s="63" t="s">
        <v>317</v>
      </c>
      <c r="K41" s="63" t="s">
        <v>195</v>
      </c>
      <c r="L41" s="63" t="s">
        <v>318</v>
      </c>
      <c r="M41" s="63" t="s">
        <v>313</v>
      </c>
    </row>
    <row r="42" spans="1:13" ht="13.5" thickBot="1" x14ac:dyDescent="0.25">
      <c r="E42" s="64" t="s">
        <v>319</v>
      </c>
      <c r="F42" s="64" t="s">
        <v>320</v>
      </c>
      <c r="L42" s="64" t="s">
        <v>319</v>
      </c>
      <c r="M42" s="64" t="s">
        <v>320</v>
      </c>
    </row>
    <row r="43" spans="1:13" ht="14.25" thickTop="1" thickBot="1" x14ac:dyDescent="0.25">
      <c r="A43" s="62" t="s">
        <v>321</v>
      </c>
      <c r="B43" s="62">
        <v>1.5</v>
      </c>
      <c r="C43" s="55"/>
      <c r="D43" s="62">
        <v>0.6</v>
      </c>
      <c r="E43" s="65">
        <f t="shared" ref="E43:E52" si="2">(B43*C43)/D43</f>
        <v>0</v>
      </c>
      <c r="F43" s="55"/>
      <c r="H43" s="62" t="s">
        <v>321</v>
      </c>
      <c r="I43" s="62">
        <v>1.5</v>
      </c>
      <c r="J43" s="55"/>
      <c r="K43" s="62">
        <v>0.8</v>
      </c>
      <c r="L43" s="65">
        <f t="shared" ref="L43:L52" si="3">(I43*J43)/K43</f>
        <v>0</v>
      </c>
      <c r="M43" s="55"/>
    </row>
    <row r="44" spans="1:13" ht="14.25" thickTop="1" thickBot="1" x14ac:dyDescent="0.25">
      <c r="A44" s="62" t="s">
        <v>322</v>
      </c>
      <c r="B44" s="62">
        <v>2.5</v>
      </c>
      <c r="C44" s="55"/>
      <c r="D44" s="62">
        <v>0.6</v>
      </c>
      <c r="E44" s="65">
        <f t="shared" si="2"/>
        <v>0</v>
      </c>
      <c r="F44" s="55"/>
      <c r="H44" s="62" t="s">
        <v>322</v>
      </c>
      <c r="I44" s="62">
        <v>2.5</v>
      </c>
      <c r="J44" s="55"/>
      <c r="K44" s="62">
        <v>0.8</v>
      </c>
      <c r="L44" s="65">
        <f t="shared" si="3"/>
        <v>0</v>
      </c>
      <c r="M44" s="55"/>
    </row>
    <row r="45" spans="1:13" ht="14.25" thickTop="1" thickBot="1" x14ac:dyDescent="0.25">
      <c r="A45" s="62" t="s">
        <v>323</v>
      </c>
      <c r="B45" s="62">
        <v>5</v>
      </c>
      <c r="C45" s="55"/>
      <c r="D45" s="62">
        <v>0.6</v>
      </c>
      <c r="E45" s="65">
        <f t="shared" si="2"/>
        <v>0</v>
      </c>
      <c r="F45" s="55"/>
      <c r="H45" s="62" t="s">
        <v>323</v>
      </c>
      <c r="I45" s="62">
        <v>5</v>
      </c>
      <c r="J45" s="55"/>
      <c r="K45" s="62">
        <v>0.8</v>
      </c>
      <c r="L45" s="65">
        <f t="shared" si="3"/>
        <v>0</v>
      </c>
      <c r="M45" s="55"/>
    </row>
    <row r="46" spans="1:13" ht="14.25" thickTop="1" thickBot="1" x14ac:dyDescent="0.25">
      <c r="A46" s="62" t="s">
        <v>324</v>
      </c>
      <c r="B46" s="62">
        <v>8</v>
      </c>
      <c r="C46" s="55"/>
      <c r="D46" s="62">
        <v>0.6</v>
      </c>
      <c r="E46" s="65">
        <f t="shared" si="2"/>
        <v>0</v>
      </c>
      <c r="F46" s="55"/>
      <c r="H46" s="62" t="s">
        <v>324</v>
      </c>
      <c r="I46" s="62">
        <v>8</v>
      </c>
      <c r="J46" s="55"/>
      <c r="K46" s="62">
        <v>0.8</v>
      </c>
      <c r="L46" s="65">
        <f t="shared" si="3"/>
        <v>0</v>
      </c>
      <c r="M46" s="55"/>
    </row>
    <row r="47" spans="1:13" ht="14.25" thickTop="1" thickBot="1" x14ac:dyDescent="0.25">
      <c r="A47" s="62" t="s">
        <v>325</v>
      </c>
      <c r="B47" s="62">
        <v>17.5</v>
      </c>
      <c r="C47" s="55"/>
      <c r="D47" s="62">
        <v>0.6</v>
      </c>
      <c r="E47" s="65">
        <f t="shared" si="2"/>
        <v>0</v>
      </c>
      <c r="F47" s="55"/>
      <c r="H47" s="62" t="s">
        <v>325</v>
      </c>
      <c r="I47" s="62">
        <v>17.5</v>
      </c>
      <c r="J47" s="55"/>
      <c r="K47" s="62">
        <v>0.8</v>
      </c>
      <c r="L47" s="65">
        <f t="shared" si="3"/>
        <v>0</v>
      </c>
      <c r="M47" s="55"/>
    </row>
    <row r="48" spans="1:13" ht="14.25" thickTop="1" thickBot="1" x14ac:dyDescent="0.25">
      <c r="A48" s="62" t="s">
        <v>326</v>
      </c>
      <c r="B48" s="62">
        <v>30</v>
      </c>
      <c r="C48" s="55"/>
      <c r="D48" s="62">
        <v>0.6</v>
      </c>
      <c r="E48" s="65">
        <f t="shared" si="2"/>
        <v>0</v>
      </c>
      <c r="F48" s="55"/>
      <c r="H48" s="62" t="s">
        <v>326</v>
      </c>
      <c r="I48" s="62">
        <v>30</v>
      </c>
      <c r="J48" s="55"/>
      <c r="K48" s="62">
        <v>0.8</v>
      </c>
      <c r="L48" s="65">
        <f t="shared" si="3"/>
        <v>0</v>
      </c>
      <c r="M48" s="55"/>
    </row>
    <row r="49" spans="1:14" ht="14.25" thickTop="1" thickBot="1" x14ac:dyDescent="0.25">
      <c r="A49" s="62" t="s">
        <v>327</v>
      </c>
      <c r="B49" s="62">
        <v>62.5</v>
      </c>
      <c r="C49" s="55"/>
      <c r="D49" s="62">
        <v>0.6</v>
      </c>
      <c r="E49" s="65">
        <f t="shared" si="2"/>
        <v>0</v>
      </c>
      <c r="F49" s="55"/>
      <c r="H49" s="62" t="s">
        <v>327</v>
      </c>
      <c r="I49" s="62">
        <v>62.5</v>
      </c>
      <c r="J49" s="55"/>
      <c r="K49" s="62">
        <v>0.8</v>
      </c>
      <c r="L49" s="65">
        <f t="shared" si="3"/>
        <v>0</v>
      </c>
      <c r="M49" s="55"/>
    </row>
    <row r="50" spans="1:14" ht="14.25" thickTop="1" thickBot="1" x14ac:dyDescent="0.25">
      <c r="A50" s="62" t="s">
        <v>328</v>
      </c>
      <c r="B50" s="62">
        <v>90</v>
      </c>
      <c r="C50" s="55"/>
      <c r="D50" s="62">
        <v>0.6</v>
      </c>
      <c r="E50" s="65">
        <f t="shared" si="2"/>
        <v>0</v>
      </c>
      <c r="F50" s="55"/>
      <c r="H50" s="62" t="s">
        <v>328</v>
      </c>
      <c r="I50" s="62">
        <v>90</v>
      </c>
      <c r="J50" s="55"/>
      <c r="K50" s="62">
        <v>0.8</v>
      </c>
      <c r="L50" s="65">
        <f t="shared" si="3"/>
        <v>0</v>
      </c>
      <c r="M50" s="55"/>
    </row>
    <row r="51" spans="1:14" ht="14.25" thickTop="1" thickBot="1" x14ac:dyDescent="0.25">
      <c r="A51" s="62" t="s">
        <v>329</v>
      </c>
      <c r="B51" s="62">
        <v>145</v>
      </c>
      <c r="C51" s="55"/>
      <c r="D51" s="62">
        <v>0.6</v>
      </c>
      <c r="E51" s="65">
        <f t="shared" si="2"/>
        <v>0</v>
      </c>
      <c r="F51" s="55"/>
      <c r="H51" s="62" t="s">
        <v>329</v>
      </c>
      <c r="I51" s="62">
        <v>145</v>
      </c>
      <c r="J51" s="55"/>
      <c r="K51" s="62">
        <v>0.8</v>
      </c>
      <c r="L51" s="65">
        <f t="shared" si="3"/>
        <v>0</v>
      </c>
      <c r="M51" s="55"/>
    </row>
    <row r="52" spans="1:14" ht="14.25" thickTop="1" thickBot="1" x14ac:dyDescent="0.25">
      <c r="A52" s="62" t="s">
        <v>330</v>
      </c>
      <c r="B52" s="62">
        <v>215</v>
      </c>
      <c r="C52" s="55"/>
      <c r="D52" s="62">
        <v>0.6</v>
      </c>
      <c r="E52" s="65">
        <f t="shared" si="2"/>
        <v>0</v>
      </c>
      <c r="F52" s="55"/>
      <c r="H52" s="62" t="s">
        <v>330</v>
      </c>
      <c r="I52" s="62">
        <v>215</v>
      </c>
      <c r="J52" s="55"/>
      <c r="K52" s="62">
        <v>0.8</v>
      </c>
      <c r="L52" s="65">
        <f t="shared" si="3"/>
        <v>0</v>
      </c>
      <c r="M52" s="55"/>
    </row>
    <row r="53" spans="1:14" ht="14.25" thickTop="1" thickBot="1" x14ac:dyDescent="0.25">
      <c r="D53" s="49" t="s">
        <v>331</v>
      </c>
      <c r="E53" s="65">
        <f>SUM(E43:E52)</f>
        <v>0</v>
      </c>
      <c r="F53" s="55">
        <f>SUM(F43:F52)</f>
        <v>0</v>
      </c>
      <c r="K53" s="49" t="s">
        <v>331</v>
      </c>
      <c r="L53" s="65">
        <f>SUM(L43:L52)</f>
        <v>0</v>
      </c>
      <c r="M53" s="55">
        <f>SUM(M43:M52)</f>
        <v>0</v>
      </c>
    </row>
    <row r="54" spans="1:14" ht="13.5" thickBot="1" x14ac:dyDescent="0.25">
      <c r="L54" s="63" t="s">
        <v>180</v>
      </c>
    </row>
    <row r="55" spans="1:14" ht="13.5" thickBot="1" x14ac:dyDescent="0.25">
      <c r="A55" s="49" t="s">
        <v>337</v>
      </c>
      <c r="L55" s="66">
        <f>I11+E33+F33+L33+M33+E53+F53+L53+M53</f>
        <v>0</v>
      </c>
      <c r="N55" s="162" t="s">
        <v>934</v>
      </c>
    </row>
    <row r="56" spans="1:14" x14ac:dyDescent="0.2">
      <c r="M56" s="162"/>
    </row>
    <row r="57" spans="1:14" x14ac:dyDescent="0.2">
      <c r="A57" s="50" t="s">
        <v>338</v>
      </c>
    </row>
    <row r="58" spans="1:14" x14ac:dyDescent="0.2">
      <c r="A58" s="48" t="s">
        <v>339</v>
      </c>
    </row>
  </sheetData>
  <printOptions gridLines="1"/>
  <pageMargins left="0.5" right="0.5" top="0.5" bottom="0.5" header="0.5" footer="0.5"/>
  <pageSetup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16</xdr:col>
                    <xdr:colOff>152400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3"/>
  <sheetViews>
    <sheetView topLeftCell="A109" workbookViewId="0">
      <selection activeCell="I135" sqref="I135"/>
    </sheetView>
  </sheetViews>
  <sheetFormatPr defaultColWidth="9" defaultRowHeight="12.75" x14ac:dyDescent="0.2"/>
  <cols>
    <col min="1" max="1" width="10.5" style="14" bestFit="1" customWidth="1"/>
    <col min="2" max="2" width="11" style="14" bestFit="1" customWidth="1"/>
    <col min="3" max="3" width="11.25" style="14" bestFit="1" customWidth="1"/>
    <col min="4" max="5" width="10.875" style="14" bestFit="1" customWidth="1"/>
    <col min="6" max="6" width="11.25" style="14" bestFit="1" customWidth="1"/>
    <col min="7" max="8" width="9" style="14"/>
    <col min="9" max="9" width="9.875" style="14" bestFit="1" customWidth="1"/>
    <col min="10" max="16384" width="9" style="14"/>
  </cols>
  <sheetData>
    <row r="1" spans="1:6" ht="18" x14ac:dyDescent="0.25">
      <c r="A1" s="13" t="s">
        <v>206</v>
      </c>
    </row>
    <row r="2" spans="1:6" ht="12.75" customHeight="1" x14ac:dyDescent="0.25">
      <c r="A2" s="13"/>
    </row>
    <row r="3" spans="1:6" ht="12.75" customHeight="1" x14ac:dyDescent="0.2">
      <c r="A3" s="15" t="s">
        <v>207</v>
      </c>
    </row>
    <row r="4" spans="1:6" x14ac:dyDescent="0.2">
      <c r="A4" s="15" t="s">
        <v>208</v>
      </c>
      <c r="C4" s="14">
        <v>69</v>
      </c>
      <c r="E4" s="16"/>
    </row>
    <row r="5" spans="1:6" x14ac:dyDescent="0.2">
      <c r="A5" s="14" t="s">
        <v>209</v>
      </c>
      <c r="C5" s="14">
        <f>INDEX(WUP,index)</f>
        <v>718</v>
      </c>
    </row>
    <row r="6" spans="1:6" ht="18.75" customHeight="1" x14ac:dyDescent="0.2">
      <c r="A6" s="15" t="s">
        <v>210</v>
      </c>
      <c r="C6" s="14" t="str">
        <f>INDEX(Utility_Name,index)</f>
        <v>GASPARILLA ISLAND WATER ASSOC.</v>
      </c>
    </row>
    <row r="7" spans="1:6" x14ac:dyDescent="0.2">
      <c r="A7" s="14" t="s">
        <v>211</v>
      </c>
      <c r="C7" s="14">
        <v>2010</v>
      </c>
    </row>
    <row r="8" spans="1:6" ht="13.5" thickBot="1" x14ac:dyDescent="0.25">
      <c r="A8" s="14" t="s">
        <v>212</v>
      </c>
      <c r="C8" s="14">
        <v>2021</v>
      </c>
    </row>
    <row r="9" spans="1:6" ht="14.25" thickTop="1" thickBot="1" x14ac:dyDescent="0.25">
      <c r="A9" s="17" t="s">
        <v>213</v>
      </c>
      <c r="B9" s="17"/>
      <c r="C9" s="17"/>
      <c r="D9" s="17"/>
      <c r="F9" s="18"/>
    </row>
    <row r="10" spans="1:6" ht="14.25" thickTop="1" thickBot="1" x14ac:dyDescent="0.25">
      <c r="A10" s="19"/>
      <c r="B10" s="19"/>
      <c r="C10" s="19"/>
      <c r="D10" s="19"/>
      <c r="F10" s="16"/>
    </row>
    <row r="11" spans="1:6" ht="13.5" thickBot="1" x14ac:dyDescent="0.25">
      <c r="A11" s="20" t="s">
        <v>214</v>
      </c>
      <c r="B11" s="20"/>
      <c r="C11" s="20"/>
      <c r="D11" s="20"/>
      <c r="F11" s="21"/>
    </row>
    <row r="12" spans="1:6" ht="13.5" thickBot="1" x14ac:dyDescent="0.25">
      <c r="A12" s="19"/>
      <c r="B12" s="19"/>
      <c r="C12" s="19"/>
      <c r="D12" s="19"/>
    </row>
    <row r="13" spans="1:6" ht="14.25" thickTop="1" thickBot="1" x14ac:dyDescent="0.25">
      <c r="A13" s="22" t="s">
        <v>215</v>
      </c>
      <c r="B13" s="22"/>
      <c r="C13" s="22"/>
      <c r="D13" s="22"/>
      <c r="F13" s="23"/>
    </row>
    <row r="14" spans="1:6" ht="13.5" thickTop="1" x14ac:dyDescent="0.2"/>
    <row r="15" spans="1:6" ht="15.75" x14ac:dyDescent="0.25">
      <c r="A15" s="24" t="s">
        <v>216</v>
      </c>
    </row>
    <row r="16" spans="1:6" x14ac:dyDescent="0.2">
      <c r="A16" s="25" t="s">
        <v>217</v>
      </c>
    </row>
    <row r="18" spans="1:4" x14ac:dyDescent="0.2">
      <c r="B18" s="26" t="s">
        <v>218</v>
      </c>
    </row>
    <row r="19" spans="1:4" x14ac:dyDescent="0.2">
      <c r="B19" s="26" t="s">
        <v>219</v>
      </c>
    </row>
    <row r="20" spans="1:4" x14ac:dyDescent="0.2">
      <c r="B20" s="26" t="s">
        <v>220</v>
      </c>
    </row>
    <row r="21" spans="1:4" x14ac:dyDescent="0.2">
      <c r="B21" s="26" t="s">
        <v>221</v>
      </c>
    </row>
    <row r="22" spans="1:4" x14ac:dyDescent="0.2">
      <c r="B22" s="26" t="s">
        <v>222</v>
      </c>
    </row>
    <row r="23" spans="1:4" ht="13.5" thickBot="1" x14ac:dyDescent="0.25">
      <c r="B23" s="27" t="s">
        <v>205</v>
      </c>
    </row>
    <row r="24" spans="1:4" ht="14.25" thickTop="1" thickBot="1" x14ac:dyDescent="0.25">
      <c r="B24" s="28">
        <f>PopulationServed!$E$12</f>
        <v>0</v>
      </c>
    </row>
    <row r="25" spans="1:4" ht="13.5" thickTop="1" x14ac:dyDescent="0.2"/>
    <row r="26" spans="1:4" ht="15.75" x14ac:dyDescent="0.25">
      <c r="A26" s="24" t="s">
        <v>223</v>
      </c>
    </row>
    <row r="27" spans="1:4" x14ac:dyDescent="0.2">
      <c r="A27" s="25" t="s">
        <v>224</v>
      </c>
    </row>
    <row r="28" spans="1:4" x14ac:dyDescent="0.2">
      <c r="A28" s="29"/>
    </row>
    <row r="29" spans="1:4" x14ac:dyDescent="0.2">
      <c r="A29" s="30" t="s">
        <v>225</v>
      </c>
      <c r="B29" s="30"/>
    </row>
    <row r="30" spans="1:4" x14ac:dyDescent="0.2">
      <c r="A30" s="30" t="s">
        <v>226</v>
      </c>
      <c r="B30" s="30" t="s">
        <v>225</v>
      </c>
      <c r="C30" s="30" t="s">
        <v>227</v>
      </c>
    </row>
    <row r="31" spans="1:4" x14ac:dyDescent="0.2">
      <c r="A31" s="30" t="s">
        <v>228</v>
      </c>
      <c r="B31" s="30" t="s">
        <v>226</v>
      </c>
      <c r="C31" s="30" t="s">
        <v>229</v>
      </c>
      <c r="D31" s="30" t="s">
        <v>225</v>
      </c>
    </row>
    <row r="32" spans="1:4" x14ac:dyDescent="0.2">
      <c r="A32" s="30" t="s">
        <v>230</v>
      </c>
      <c r="B32" s="30" t="s">
        <v>231</v>
      </c>
      <c r="C32" s="30" t="s">
        <v>232</v>
      </c>
      <c r="D32" s="30" t="s">
        <v>233</v>
      </c>
    </row>
    <row r="33" spans="1:5" x14ac:dyDescent="0.2">
      <c r="A33" s="30" t="s">
        <v>234</v>
      </c>
      <c r="B33" s="30" t="s">
        <v>234</v>
      </c>
      <c r="C33" s="30" t="s">
        <v>228</v>
      </c>
      <c r="D33" s="30" t="s">
        <v>220</v>
      </c>
    </row>
    <row r="34" spans="1:5" ht="13.5" thickBot="1" x14ac:dyDescent="0.25">
      <c r="A34" s="27" t="s">
        <v>184</v>
      </c>
      <c r="B34" s="27" t="s">
        <v>185</v>
      </c>
      <c r="C34" s="27" t="s">
        <v>186</v>
      </c>
      <c r="D34" s="27" t="s">
        <v>187</v>
      </c>
    </row>
    <row r="35" spans="1:5" ht="14.25" thickTop="1" thickBot="1" x14ac:dyDescent="0.25">
      <c r="A35" s="31">
        <f>INDEX(CPOPNHH,index)</f>
        <v>1602</v>
      </c>
      <c r="B35" s="31">
        <f>INDEX(CHH,index)</f>
        <v>850</v>
      </c>
      <c r="C35" s="31">
        <f>INDEX(CGRUPPOP,index)</f>
        <v>160</v>
      </c>
      <c r="D35" s="31">
        <f>INDEX(CHOUSUNITS,index)</f>
        <v>1924</v>
      </c>
    </row>
    <row r="36" spans="1:5" ht="13.5" thickTop="1" x14ac:dyDescent="0.2"/>
    <row r="37" spans="1:5" ht="15.75" x14ac:dyDescent="0.25">
      <c r="A37" s="24" t="s">
        <v>235</v>
      </c>
    </row>
    <row r="38" spans="1:5" ht="15.75" x14ac:dyDescent="0.25">
      <c r="A38" s="24"/>
      <c r="E38" s="26" t="s">
        <v>236</v>
      </c>
    </row>
    <row r="39" spans="1:5" ht="15.75" x14ac:dyDescent="0.25">
      <c r="A39" s="24"/>
      <c r="E39" s="26" t="s">
        <v>237</v>
      </c>
    </row>
    <row r="40" spans="1:5" ht="15.75" x14ac:dyDescent="0.25">
      <c r="A40" s="24"/>
      <c r="C40" s="26" t="s">
        <v>226</v>
      </c>
      <c r="E40" s="26" t="s">
        <v>238</v>
      </c>
    </row>
    <row r="41" spans="1:5" ht="13.5" thickBot="1" x14ac:dyDescent="0.25">
      <c r="C41" s="27" t="s">
        <v>188</v>
      </c>
      <c r="D41" s="32" t="s">
        <v>239</v>
      </c>
      <c r="E41" s="27" t="s">
        <v>188</v>
      </c>
    </row>
    <row r="42" spans="1:5" ht="14.25" thickTop="1" thickBot="1" x14ac:dyDescent="0.25">
      <c r="A42" s="14" t="s">
        <v>240</v>
      </c>
      <c r="C42" s="33">
        <f>A35/B35</f>
        <v>1.8847058823529412</v>
      </c>
      <c r="E42" s="23"/>
    </row>
    <row r="45" spans="1:5" ht="15.75" x14ac:dyDescent="0.25">
      <c r="A45" s="24" t="s">
        <v>241</v>
      </c>
    </row>
    <row r="46" spans="1:5" x14ac:dyDescent="0.2">
      <c r="A46" s="16"/>
      <c r="B46" s="26" t="s">
        <v>236</v>
      </c>
    </row>
    <row r="47" spans="1:5" x14ac:dyDescent="0.2">
      <c r="A47" s="26"/>
      <c r="B47" s="26" t="s">
        <v>237</v>
      </c>
    </row>
    <row r="48" spans="1:5" x14ac:dyDescent="0.2">
      <c r="A48" s="26" t="s">
        <v>242</v>
      </c>
      <c r="B48" s="26" t="s">
        <v>238</v>
      </c>
    </row>
    <row r="49" spans="1:4" ht="13.5" thickBot="1" x14ac:dyDescent="0.25">
      <c r="A49" s="27" t="s">
        <v>189</v>
      </c>
      <c r="B49" s="27" t="s">
        <v>189</v>
      </c>
    </row>
    <row r="50" spans="1:4" ht="14.25" thickTop="1" thickBot="1" x14ac:dyDescent="0.25">
      <c r="A50" s="34">
        <v>1.95</v>
      </c>
      <c r="B50" s="35"/>
    </row>
    <row r="51" spans="1:4" ht="13.5" thickTop="1" x14ac:dyDescent="0.2"/>
    <row r="52" spans="1:4" ht="15.75" x14ac:dyDescent="0.25">
      <c r="A52" s="24" t="s">
        <v>243</v>
      </c>
    </row>
    <row r="53" spans="1:4" ht="15.75" x14ac:dyDescent="0.25">
      <c r="A53" s="24"/>
    </row>
    <row r="54" spans="1:4" s="15" customFormat="1" x14ac:dyDescent="0.2">
      <c r="A54" s="15" t="s">
        <v>244</v>
      </c>
    </row>
    <row r="55" spans="1:4" s="15" customFormat="1" x14ac:dyDescent="0.2">
      <c r="A55" s="14" t="s">
        <v>210</v>
      </c>
      <c r="C55" s="15" t="str">
        <f>C6</f>
        <v>GASPARILLA ISLAND WATER ASSOC.</v>
      </c>
    </row>
    <row r="56" spans="1:4" s="15" customFormat="1" x14ac:dyDescent="0.2">
      <c r="A56" s="14" t="s">
        <v>209</v>
      </c>
      <c r="C56" s="15">
        <f>$C$5</f>
        <v>718</v>
      </c>
    </row>
    <row r="57" spans="1:4" s="15" customFormat="1" x14ac:dyDescent="0.2">
      <c r="A57" s="14" t="s">
        <v>211</v>
      </c>
      <c r="C57" s="15">
        <f>$C$7</f>
        <v>2010</v>
      </c>
    </row>
    <row r="58" spans="1:4" s="15" customFormat="1" x14ac:dyDescent="0.2">
      <c r="A58" s="14" t="s">
        <v>212</v>
      </c>
      <c r="C58" s="15">
        <f>C8</f>
        <v>2021</v>
      </c>
    </row>
    <row r="59" spans="1:4" s="15" customFormat="1" x14ac:dyDescent="0.2">
      <c r="A59" s="14"/>
    </row>
    <row r="60" spans="1:4" s="15" customFormat="1" x14ac:dyDescent="0.2"/>
    <row r="61" spans="1:4" ht="15.75" x14ac:dyDescent="0.25">
      <c r="A61" s="24" t="s">
        <v>245</v>
      </c>
    </row>
    <row r="62" spans="1:4" x14ac:dyDescent="0.2">
      <c r="A62" s="25" t="s">
        <v>246</v>
      </c>
    </row>
    <row r="63" spans="1:4" ht="13.5" thickBot="1" x14ac:dyDescent="0.25">
      <c r="D63" s="27" t="s">
        <v>190</v>
      </c>
    </row>
    <row r="64" spans="1:4" ht="14.25" thickTop="1" thickBot="1" x14ac:dyDescent="0.25">
      <c r="A64" s="29" t="s">
        <v>247</v>
      </c>
      <c r="D64" s="36">
        <f>INDEX(SEASRR,index)</f>
        <v>1.4172800000000001</v>
      </c>
    </row>
    <row r="65" spans="1:6" ht="13.5" thickTop="1" x14ac:dyDescent="0.2">
      <c r="A65" s="32"/>
      <c r="B65" s="32"/>
      <c r="C65" s="32"/>
    </row>
    <row r="66" spans="1:6" x14ac:dyDescent="0.2">
      <c r="A66" s="26"/>
      <c r="B66" s="26"/>
      <c r="E66" s="26"/>
      <c r="F66" s="26"/>
    </row>
    <row r="67" spans="1:6" ht="15.75" x14ac:dyDescent="0.25">
      <c r="A67" s="24" t="s">
        <v>248</v>
      </c>
    </row>
    <row r="68" spans="1:6" ht="13.5" thickBot="1" x14ac:dyDescent="0.25">
      <c r="A68" s="29" t="s">
        <v>249</v>
      </c>
      <c r="D68" s="27" t="s">
        <v>191</v>
      </c>
    </row>
    <row r="69" spans="1:6" ht="13.5" thickBot="1" x14ac:dyDescent="0.25">
      <c r="A69" s="29" t="s">
        <v>250</v>
      </c>
      <c r="D69" s="37">
        <f>((D64-1)*A35)/A50</f>
        <v>342.81156923076929</v>
      </c>
    </row>
    <row r="72" spans="1:6" ht="15.75" x14ac:dyDescent="0.25">
      <c r="A72" s="24" t="s">
        <v>251</v>
      </c>
    </row>
    <row r="73" spans="1:6" ht="13.5" customHeight="1" x14ac:dyDescent="0.25">
      <c r="A73" s="24"/>
      <c r="F73" s="26" t="s">
        <v>236</v>
      </c>
    </row>
    <row r="74" spans="1:6" ht="13.5" customHeight="1" x14ac:dyDescent="0.25">
      <c r="A74" s="24"/>
      <c r="F74" s="26" t="s">
        <v>237</v>
      </c>
    </row>
    <row r="75" spans="1:6" ht="13.5" customHeight="1" x14ac:dyDescent="0.25">
      <c r="A75" s="24"/>
      <c r="F75" s="26" t="s">
        <v>238</v>
      </c>
    </row>
    <row r="76" spans="1:6" ht="13.5" thickBot="1" x14ac:dyDescent="0.25">
      <c r="D76" s="27" t="s">
        <v>192</v>
      </c>
      <c r="E76" s="32" t="s">
        <v>252</v>
      </c>
      <c r="F76" s="27" t="s">
        <v>192</v>
      </c>
    </row>
    <row r="77" spans="1:6" ht="14.25" thickTop="1" thickBot="1" x14ac:dyDescent="0.25">
      <c r="A77" s="29" t="s">
        <v>253</v>
      </c>
      <c r="D77" s="33">
        <f>D69/(B35+D69)</f>
        <v>0.28739792442811785</v>
      </c>
      <c r="F77" s="38"/>
    </row>
    <row r="80" spans="1:6" ht="15.75" x14ac:dyDescent="0.25">
      <c r="A80" s="24" t="s">
        <v>254</v>
      </c>
    </row>
    <row r="81" spans="1:5" ht="13.5" thickBot="1" x14ac:dyDescent="0.25">
      <c r="D81" s="27" t="s">
        <v>198</v>
      </c>
    </row>
    <row r="82" spans="1:5" ht="13.5" thickBot="1" x14ac:dyDescent="0.25">
      <c r="A82" s="29" t="s">
        <v>255</v>
      </c>
      <c r="D82" s="37">
        <f>B24*D77*A50</f>
        <v>0</v>
      </c>
    </row>
    <row r="85" spans="1:5" ht="15.75" x14ac:dyDescent="0.25">
      <c r="A85" s="24" t="s">
        <v>256</v>
      </c>
    </row>
    <row r="86" spans="1:5" ht="13.5" thickBot="1" x14ac:dyDescent="0.25">
      <c r="E86" s="27" t="s">
        <v>199</v>
      </c>
    </row>
    <row r="87" spans="1:5" ht="13.5" thickBot="1" x14ac:dyDescent="0.25">
      <c r="A87" s="29" t="s">
        <v>257</v>
      </c>
      <c r="E87" s="37">
        <f>(1-D77)*B24*C42</f>
        <v>0</v>
      </c>
    </row>
    <row r="90" spans="1:5" ht="15.75" x14ac:dyDescent="0.25">
      <c r="A90" s="24" t="s">
        <v>258</v>
      </c>
    </row>
    <row r="91" spans="1:5" x14ac:dyDescent="0.2">
      <c r="A91" s="30" t="s">
        <v>259</v>
      </c>
      <c r="B91" s="26" t="s">
        <v>260</v>
      </c>
      <c r="C91" s="26" t="s">
        <v>261</v>
      </c>
    </row>
    <row r="92" spans="1:5" x14ac:dyDescent="0.2">
      <c r="A92" s="30" t="s">
        <v>262</v>
      </c>
      <c r="B92" s="26" t="s">
        <v>262</v>
      </c>
      <c r="C92" s="26" t="s">
        <v>263</v>
      </c>
    </row>
    <row r="93" spans="1:5" x14ac:dyDescent="0.2">
      <c r="A93" s="30" t="s">
        <v>182</v>
      </c>
      <c r="B93" s="26" t="s">
        <v>182</v>
      </c>
      <c r="C93" s="26" t="s">
        <v>264</v>
      </c>
    </row>
    <row r="94" spans="1:5" x14ac:dyDescent="0.2">
      <c r="A94" s="26" t="s">
        <v>265</v>
      </c>
      <c r="B94" s="26" t="s">
        <v>266</v>
      </c>
      <c r="C94" s="26" t="s">
        <v>238</v>
      </c>
    </row>
    <row r="95" spans="1:5" ht="13.5" thickBot="1" x14ac:dyDescent="0.25">
      <c r="A95" s="27" t="s">
        <v>193</v>
      </c>
      <c r="B95" s="27" t="s">
        <v>193</v>
      </c>
      <c r="C95" s="27" t="s">
        <v>193</v>
      </c>
    </row>
    <row r="96" spans="1:5" ht="14.25" thickTop="1" thickBot="1" x14ac:dyDescent="0.25">
      <c r="A96" s="39"/>
      <c r="B96" s="39"/>
      <c r="C96" s="35">
        <f>INDEX(SEASPROP,index)</f>
        <v>0.442</v>
      </c>
    </row>
    <row r="97" spans="1:6" ht="13.5" thickTop="1" x14ac:dyDescent="0.2"/>
    <row r="99" spans="1:6" ht="15.75" x14ac:dyDescent="0.25">
      <c r="A99" s="24" t="s">
        <v>267</v>
      </c>
    </row>
    <row r="100" spans="1:6" ht="15.75" x14ac:dyDescent="0.25">
      <c r="A100" s="24"/>
    </row>
    <row r="101" spans="1:6" x14ac:dyDescent="0.2">
      <c r="A101" s="15" t="s">
        <v>268</v>
      </c>
    </row>
    <row r="102" spans="1:6" x14ac:dyDescent="0.2">
      <c r="A102" s="14" t="s">
        <v>210</v>
      </c>
      <c r="C102" s="15" t="str">
        <f>$C$55</f>
        <v>GASPARILLA ISLAND WATER ASSOC.</v>
      </c>
    </row>
    <row r="103" spans="1:6" x14ac:dyDescent="0.2">
      <c r="A103" s="14" t="s">
        <v>209</v>
      </c>
      <c r="C103" s="15">
        <f>$C$5</f>
        <v>718</v>
      </c>
    </row>
    <row r="104" spans="1:6" x14ac:dyDescent="0.2">
      <c r="A104" s="14" t="s">
        <v>211</v>
      </c>
      <c r="C104" s="15">
        <f>$C$7</f>
        <v>2010</v>
      </c>
    </row>
    <row r="105" spans="1:6" x14ac:dyDescent="0.2">
      <c r="A105" s="14" t="s">
        <v>212</v>
      </c>
      <c r="C105" s="15">
        <f>C8</f>
        <v>2021</v>
      </c>
    </row>
    <row r="108" spans="1:6" ht="15.75" x14ac:dyDescent="0.25">
      <c r="A108" s="24" t="s">
        <v>269</v>
      </c>
    </row>
    <row r="109" spans="1:6" ht="13.5" thickBot="1" x14ac:dyDescent="0.25">
      <c r="F109" s="27" t="s">
        <v>194</v>
      </c>
    </row>
    <row r="110" spans="1:6" ht="13.5" thickBot="1" x14ac:dyDescent="0.25">
      <c r="A110" s="14" t="s">
        <v>270</v>
      </c>
      <c r="F110" s="40">
        <f>((C96*132)+((1-C96)*(132-69.3)))/132</f>
        <v>0.70705000000000007</v>
      </c>
    </row>
    <row r="113" spans="1:6" ht="15.75" x14ac:dyDescent="0.25">
      <c r="A113" s="24" t="s">
        <v>271</v>
      </c>
    </row>
    <row r="114" spans="1:6" ht="15.75" x14ac:dyDescent="0.25">
      <c r="A114" s="24" t="s">
        <v>272</v>
      </c>
    </row>
    <row r="115" spans="1:6" ht="13.5" thickBot="1" x14ac:dyDescent="0.25">
      <c r="D115" s="27" t="s">
        <v>200</v>
      </c>
    </row>
    <row r="116" spans="1:6" ht="13.5" thickBot="1" x14ac:dyDescent="0.25">
      <c r="A116" s="29" t="s">
        <v>273</v>
      </c>
      <c r="D116" s="37">
        <f>D82*F110</f>
        <v>0</v>
      </c>
    </row>
    <row r="117" spans="1:6" x14ac:dyDescent="0.2">
      <c r="A117" s="29"/>
    </row>
    <row r="119" spans="1:6" ht="15.75" x14ac:dyDescent="0.25">
      <c r="A119" s="24" t="s">
        <v>274</v>
      </c>
    </row>
    <row r="120" spans="1:6" ht="13.5" thickBot="1" x14ac:dyDescent="0.25">
      <c r="F120" s="41" t="s">
        <v>201</v>
      </c>
    </row>
    <row r="121" spans="1:6" ht="13.5" thickBot="1" x14ac:dyDescent="0.25">
      <c r="A121" s="29" t="s">
        <v>275</v>
      </c>
      <c r="F121" s="42">
        <f>(C35/D35)*B24</f>
        <v>0</v>
      </c>
    </row>
    <row r="122" spans="1:6" x14ac:dyDescent="0.2">
      <c r="A122" s="29"/>
    </row>
    <row r="124" spans="1:6" ht="15.75" x14ac:dyDescent="0.25">
      <c r="A124" s="24" t="s">
        <v>276</v>
      </c>
    </row>
    <row r="125" spans="1:6" ht="15.75" x14ac:dyDescent="0.25">
      <c r="A125" s="24" t="s">
        <v>277</v>
      </c>
    </row>
    <row r="126" spans="1:6" ht="13.5" thickBot="1" x14ac:dyDescent="0.25">
      <c r="D126" s="27" t="s">
        <v>202</v>
      </c>
    </row>
    <row r="127" spans="1:6" ht="13.5" thickBot="1" x14ac:dyDescent="0.25">
      <c r="A127" s="29" t="s">
        <v>278</v>
      </c>
      <c r="D127" s="37">
        <f>E87+D116+F121</f>
        <v>0</v>
      </c>
    </row>
    <row r="134" spans="1:9" ht="16.5" thickBot="1" x14ac:dyDescent="0.3">
      <c r="A134" s="24" t="s">
        <v>279</v>
      </c>
      <c r="I134" s="41" t="s">
        <v>280</v>
      </c>
    </row>
    <row r="135" spans="1:9" ht="14.25" thickTop="1" thickBot="1" x14ac:dyDescent="0.25">
      <c r="A135" s="14" t="s">
        <v>281</v>
      </c>
      <c r="I135" s="43">
        <f>INDEX(FTOURPOP,index)</f>
        <v>949.9032000000002</v>
      </c>
    </row>
    <row r="136" spans="1:9" ht="13.5" thickTop="1" x14ac:dyDescent="0.2">
      <c r="A136" s="25" t="s">
        <v>282</v>
      </c>
      <c r="I136" s="44"/>
    </row>
    <row r="138" spans="1:9" ht="15.75" x14ac:dyDescent="0.25">
      <c r="A138" s="24" t="s">
        <v>283</v>
      </c>
    </row>
    <row r="139" spans="1:9" ht="13.5" thickBot="1" x14ac:dyDescent="0.25">
      <c r="A139" s="25" t="s">
        <v>284</v>
      </c>
      <c r="I139" s="41" t="s">
        <v>285</v>
      </c>
    </row>
    <row r="140" spans="1:9" ht="14.25" thickTop="1" thickBot="1" x14ac:dyDescent="0.25">
      <c r="I140" s="46">
        <f>IF(INDEX(C_A_B,index)&gt;0,INDEX(C_A_B,index)*B24*(8/24)*(5/7),0)</f>
        <v>0</v>
      </c>
    </row>
    <row r="141" spans="1:9" ht="13.5" thickTop="1" x14ac:dyDescent="0.2"/>
    <row r="142" spans="1:9" ht="16.5" thickBot="1" x14ac:dyDescent="0.3">
      <c r="A142" s="24" t="s">
        <v>286</v>
      </c>
    </row>
    <row r="143" spans="1:9" ht="16.5" thickBot="1" x14ac:dyDescent="0.3">
      <c r="A143" s="24" t="s">
        <v>287</v>
      </c>
      <c r="I143" s="45">
        <f>D127+I135+I140</f>
        <v>949.9032000000002</v>
      </c>
    </row>
  </sheetData>
  <printOptions gridLines="1"/>
  <pageMargins left="0.5" right="0.5" top="0.5" bottom="0.5" header="0.5" footer="0.5"/>
  <pageSetup scale="91" fitToHeight="0" orientation="portrait" r:id="rId1"/>
  <headerFooter alignWithMargins="0"/>
  <rowBreaks count="2" manualBreakCount="2">
    <brk id="51" max="8" man="1"/>
    <brk id="9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8"/>
  <sheetViews>
    <sheetView topLeftCell="A103" workbookViewId="0">
      <selection activeCell="K32" sqref="K32"/>
    </sheetView>
  </sheetViews>
  <sheetFormatPr defaultColWidth="9" defaultRowHeight="12.75" x14ac:dyDescent="0.2"/>
  <cols>
    <col min="1" max="1" width="10.5" style="71" bestFit="1" customWidth="1"/>
    <col min="2" max="2" width="9" style="71" bestFit="1" customWidth="1"/>
    <col min="3" max="5" width="9" style="71"/>
    <col min="6" max="6" width="8.75" style="71" bestFit="1" customWidth="1"/>
    <col min="7" max="7" width="9.875" style="71" bestFit="1" customWidth="1"/>
    <col min="8" max="16384" width="9" style="71"/>
  </cols>
  <sheetData>
    <row r="1" spans="1:7" ht="18" x14ac:dyDescent="0.25">
      <c r="A1" s="70" t="s">
        <v>343</v>
      </c>
    </row>
    <row r="2" spans="1:7" ht="18" x14ac:dyDescent="0.25">
      <c r="A2" s="70"/>
      <c r="C2" s="72"/>
    </row>
    <row r="3" spans="1:7" x14ac:dyDescent="0.2">
      <c r="A3" s="71" t="s">
        <v>344</v>
      </c>
    </row>
    <row r="4" spans="1:7" x14ac:dyDescent="0.2">
      <c r="A4" s="71" t="s">
        <v>210</v>
      </c>
      <c r="C4" s="14" t="str">
        <f>INDEX(Utility_Name,index)</f>
        <v>GASPARILLA ISLAND WATER ASSOC.</v>
      </c>
    </row>
    <row r="5" spans="1:7" x14ac:dyDescent="0.2">
      <c r="A5" s="71" t="s">
        <v>209</v>
      </c>
      <c r="C5" s="14">
        <f>INDEX(WUP,index)</f>
        <v>718</v>
      </c>
    </row>
    <row r="6" spans="1:7" ht="13.5" thickBot="1" x14ac:dyDescent="0.25">
      <c r="A6" s="71" t="s">
        <v>345</v>
      </c>
      <c r="C6" s="14">
        <v>2021</v>
      </c>
    </row>
    <row r="7" spans="1:7" ht="14.25" thickTop="1" thickBot="1" x14ac:dyDescent="0.25">
      <c r="A7" s="74" t="s">
        <v>346</v>
      </c>
      <c r="B7" s="75"/>
      <c r="C7" s="75"/>
      <c r="D7" s="75"/>
      <c r="E7" s="76"/>
      <c r="G7" s="77"/>
    </row>
    <row r="8" spans="1:7" ht="14.25" thickTop="1" thickBot="1" x14ac:dyDescent="0.25">
      <c r="A8" s="78" t="s">
        <v>292</v>
      </c>
      <c r="B8" s="79"/>
      <c r="C8" s="79"/>
      <c r="D8" s="79"/>
      <c r="E8" s="80"/>
      <c r="G8" s="81"/>
    </row>
    <row r="11" spans="1:7" x14ac:dyDescent="0.2">
      <c r="A11" s="71" t="s">
        <v>347</v>
      </c>
    </row>
    <row r="12" spans="1:7" x14ac:dyDescent="0.2">
      <c r="A12" s="71" t="s">
        <v>348</v>
      </c>
    </row>
    <row r="13" spans="1:7" x14ac:dyDescent="0.2">
      <c r="A13" s="71" t="s">
        <v>349</v>
      </c>
    </row>
    <row r="14" spans="1:7" x14ac:dyDescent="0.2">
      <c r="A14" s="71" t="s">
        <v>350</v>
      </c>
    </row>
    <row r="16" spans="1:7" ht="15.75" x14ac:dyDescent="0.25">
      <c r="A16" s="82" t="s">
        <v>351</v>
      </c>
    </row>
    <row r="18" spans="1:7" x14ac:dyDescent="0.2">
      <c r="A18" s="72" t="s">
        <v>352</v>
      </c>
    </row>
    <row r="19" spans="1:7" x14ac:dyDescent="0.2">
      <c r="A19" s="71" t="s">
        <v>353</v>
      </c>
    </row>
    <row r="20" spans="1:7" x14ac:dyDescent="0.2">
      <c r="A20" s="71" t="s">
        <v>354</v>
      </c>
    </row>
    <row r="21" spans="1:7" x14ac:dyDescent="0.2">
      <c r="G21" s="71" t="s">
        <v>355</v>
      </c>
    </row>
    <row r="22" spans="1:7" ht="13.5" thickBot="1" x14ac:dyDescent="0.25">
      <c r="A22" s="168" t="s">
        <v>356</v>
      </c>
      <c r="B22" s="168"/>
      <c r="C22" s="168"/>
      <c r="D22" s="168"/>
      <c r="E22" s="168"/>
      <c r="G22" s="71" t="s">
        <v>357</v>
      </c>
    </row>
    <row r="23" spans="1:7" ht="14.25" thickTop="1" thickBot="1" x14ac:dyDescent="0.25">
      <c r="A23" s="170"/>
      <c r="B23" s="171"/>
      <c r="C23" s="171"/>
      <c r="D23" s="171"/>
      <c r="E23" s="172"/>
      <c r="G23" s="77"/>
    </row>
    <row r="24" spans="1:7" ht="14.25" thickTop="1" thickBot="1" x14ac:dyDescent="0.25">
      <c r="A24" s="170"/>
      <c r="B24" s="171"/>
      <c r="C24" s="171"/>
      <c r="D24" s="171"/>
      <c r="E24" s="172"/>
      <c r="G24" s="77"/>
    </row>
    <row r="25" spans="1:7" ht="14.25" thickTop="1" thickBot="1" x14ac:dyDescent="0.25">
      <c r="A25" s="170"/>
      <c r="B25" s="171"/>
      <c r="C25" s="171"/>
      <c r="D25" s="171"/>
      <c r="E25" s="172"/>
      <c r="G25" s="77"/>
    </row>
    <row r="26" spans="1:7" ht="14.25" thickTop="1" thickBot="1" x14ac:dyDescent="0.25">
      <c r="A26" s="170"/>
      <c r="B26" s="171"/>
      <c r="C26" s="171"/>
      <c r="D26" s="171"/>
      <c r="E26" s="172"/>
      <c r="G26" s="77"/>
    </row>
    <row r="27" spans="1:7" ht="14.25" thickTop="1" thickBot="1" x14ac:dyDescent="0.25">
      <c r="A27" s="170"/>
      <c r="B27" s="171"/>
      <c r="C27" s="171"/>
      <c r="D27" s="171"/>
      <c r="E27" s="172"/>
      <c r="G27" s="77"/>
    </row>
    <row r="28" spans="1:7" ht="14.25" thickTop="1" thickBot="1" x14ac:dyDescent="0.25">
      <c r="A28" s="170"/>
      <c r="B28" s="171"/>
      <c r="C28" s="171"/>
      <c r="D28" s="171"/>
      <c r="E28" s="172"/>
      <c r="G28" s="77"/>
    </row>
    <row r="29" spans="1:7" ht="14.25" thickTop="1" thickBot="1" x14ac:dyDescent="0.25">
      <c r="A29" s="170"/>
      <c r="B29" s="171"/>
      <c r="C29" s="171"/>
      <c r="D29" s="171"/>
      <c r="E29" s="172"/>
      <c r="G29" s="77"/>
    </row>
    <row r="30" spans="1:7" ht="14.25" thickTop="1" thickBot="1" x14ac:dyDescent="0.25">
      <c r="A30" s="170"/>
      <c r="B30" s="171"/>
      <c r="C30" s="171"/>
      <c r="D30" s="171"/>
      <c r="E30" s="172"/>
      <c r="G30" s="77"/>
    </row>
    <row r="31" spans="1:7" ht="14.25" thickTop="1" thickBot="1" x14ac:dyDescent="0.25">
      <c r="A31" s="170"/>
      <c r="B31" s="171"/>
      <c r="C31" s="171"/>
      <c r="D31" s="171"/>
      <c r="E31" s="172"/>
      <c r="G31" s="77"/>
    </row>
    <row r="32" spans="1:7" ht="14.25" thickTop="1" thickBot="1" x14ac:dyDescent="0.25">
      <c r="A32" s="73"/>
      <c r="B32" s="73"/>
      <c r="C32" s="73"/>
      <c r="D32" s="73"/>
      <c r="E32" s="73"/>
      <c r="G32" s="83" t="s">
        <v>358</v>
      </c>
    </row>
    <row r="33" spans="1:7" ht="13.5" thickBot="1" x14ac:dyDescent="0.25">
      <c r="C33" s="71" t="s">
        <v>359</v>
      </c>
      <c r="G33" s="101">
        <f>INDEX(ROOMS,index)</f>
        <v>548</v>
      </c>
    </row>
    <row r="35" spans="1:7" x14ac:dyDescent="0.2">
      <c r="A35" s="72" t="s">
        <v>360</v>
      </c>
    </row>
    <row r="36" spans="1:7" x14ac:dyDescent="0.2">
      <c r="A36" s="71" t="s">
        <v>361</v>
      </c>
    </row>
    <row r="37" spans="1:7" x14ac:dyDescent="0.2">
      <c r="A37" s="71" t="s">
        <v>362</v>
      </c>
    </row>
    <row r="38" spans="1:7" x14ac:dyDescent="0.2">
      <c r="A38" s="71" t="s">
        <v>363</v>
      </c>
    </row>
    <row r="39" spans="1:7" x14ac:dyDescent="0.2">
      <c r="A39" s="71" t="s">
        <v>364</v>
      </c>
    </row>
    <row r="40" spans="1:7" x14ac:dyDescent="0.2">
      <c r="A40" s="84" t="s">
        <v>365</v>
      </c>
      <c r="G40" s="73" t="s">
        <v>366</v>
      </c>
    </row>
    <row r="41" spans="1:7" x14ac:dyDescent="0.2">
      <c r="G41" s="73" t="s">
        <v>367</v>
      </c>
    </row>
    <row r="42" spans="1:7" ht="13.5" thickBot="1" x14ac:dyDescent="0.25">
      <c r="A42" s="73" t="s">
        <v>368</v>
      </c>
      <c r="G42" s="73" t="s">
        <v>369</v>
      </c>
    </row>
    <row r="43" spans="1:7" ht="14.25" thickTop="1" thickBot="1" x14ac:dyDescent="0.25">
      <c r="A43" s="71" t="s">
        <v>370</v>
      </c>
      <c r="G43" s="77"/>
    </row>
    <row r="44" spans="1:7" ht="14.25" thickTop="1" thickBot="1" x14ac:dyDescent="0.25">
      <c r="A44" s="71" t="s">
        <v>371</v>
      </c>
      <c r="G44" s="77"/>
    </row>
    <row r="45" spans="1:7" ht="14.25" thickTop="1" thickBot="1" x14ac:dyDescent="0.25">
      <c r="A45" s="71" t="s">
        <v>372</v>
      </c>
      <c r="G45" s="77"/>
    </row>
    <row r="46" spans="1:7" ht="14.25" thickTop="1" thickBot="1" x14ac:dyDescent="0.25">
      <c r="A46" s="71" t="s">
        <v>373</v>
      </c>
      <c r="G46" s="77"/>
    </row>
    <row r="47" spans="1:7" ht="14.25" thickTop="1" thickBot="1" x14ac:dyDescent="0.25">
      <c r="A47" s="71" t="s">
        <v>374</v>
      </c>
      <c r="G47" s="77"/>
    </row>
    <row r="48" spans="1:7" ht="14.25" thickTop="1" thickBot="1" x14ac:dyDescent="0.25">
      <c r="A48" s="71" t="s">
        <v>375</v>
      </c>
      <c r="G48" s="77"/>
    </row>
    <row r="49" spans="1:7" ht="14.25" thickTop="1" thickBot="1" x14ac:dyDescent="0.25">
      <c r="A49" s="71" t="s">
        <v>376</v>
      </c>
      <c r="G49" s="77"/>
    </row>
    <row r="50" spans="1:7" ht="14.25" thickTop="1" thickBot="1" x14ac:dyDescent="0.25">
      <c r="A50" s="71" t="s">
        <v>377</v>
      </c>
      <c r="G50" s="77"/>
    </row>
    <row r="51" spans="1:7" ht="14.25" thickTop="1" thickBot="1" x14ac:dyDescent="0.25">
      <c r="A51" s="71" t="s">
        <v>378</v>
      </c>
      <c r="G51" s="77"/>
    </row>
    <row r="52" spans="1:7" ht="14.25" thickTop="1" thickBot="1" x14ac:dyDescent="0.25">
      <c r="A52" s="71" t="s">
        <v>379</v>
      </c>
      <c r="G52" s="77"/>
    </row>
    <row r="53" spans="1:7" ht="14.25" thickTop="1" thickBot="1" x14ac:dyDescent="0.25">
      <c r="A53" s="71" t="s">
        <v>380</v>
      </c>
      <c r="G53" s="77"/>
    </row>
    <row r="54" spans="1:7" ht="14.25" thickTop="1" thickBot="1" x14ac:dyDescent="0.25">
      <c r="A54" s="71" t="s">
        <v>381</v>
      </c>
      <c r="G54" s="77"/>
    </row>
    <row r="55" spans="1:7" ht="14.25" thickTop="1" thickBot="1" x14ac:dyDescent="0.25">
      <c r="G55" s="83" t="s">
        <v>317</v>
      </c>
    </row>
    <row r="56" spans="1:7" ht="13.5" thickBot="1" x14ac:dyDescent="0.25">
      <c r="A56" s="71" t="s">
        <v>382</v>
      </c>
      <c r="G56" s="81"/>
    </row>
    <row r="57" spans="1:7" ht="13.5" thickBot="1" x14ac:dyDescent="0.25">
      <c r="G57" s="83" t="s">
        <v>195</v>
      </c>
    </row>
    <row r="58" spans="1:7" ht="13.5" thickBot="1" x14ac:dyDescent="0.25">
      <c r="A58" s="71" t="s">
        <v>383</v>
      </c>
      <c r="G58" s="102">
        <f>INDEX(D,index)</f>
        <v>0.64200000000000002</v>
      </c>
    </row>
    <row r="60" spans="1:7" x14ac:dyDescent="0.2">
      <c r="A60" s="72" t="s">
        <v>384</v>
      </c>
    </row>
    <row r="61" spans="1:7" x14ac:dyDescent="0.2">
      <c r="A61" s="71" t="s">
        <v>385</v>
      </c>
    </row>
    <row r="62" spans="1:7" x14ac:dyDescent="0.2">
      <c r="A62" s="71" t="s">
        <v>386</v>
      </c>
    </row>
    <row r="63" spans="1:7" x14ac:dyDescent="0.2">
      <c r="A63" s="71" t="s">
        <v>387</v>
      </c>
    </row>
    <row r="65" spans="1:7" x14ac:dyDescent="0.2">
      <c r="A65" s="71" t="s">
        <v>388</v>
      </c>
    </row>
    <row r="67" spans="1:7" x14ac:dyDescent="0.2">
      <c r="A67" s="71" t="s">
        <v>389</v>
      </c>
      <c r="C67" s="168" t="s">
        <v>390</v>
      </c>
      <c r="D67" s="168"/>
      <c r="E67" s="71" t="s">
        <v>391</v>
      </c>
      <c r="F67" s="71" t="s">
        <v>392</v>
      </c>
    </row>
    <row r="68" spans="1:7" x14ac:dyDescent="0.2">
      <c r="A68" s="71" t="s">
        <v>393</v>
      </c>
      <c r="C68" s="168" t="s">
        <v>394</v>
      </c>
      <c r="D68" s="168"/>
      <c r="E68" s="71" t="s">
        <v>395</v>
      </c>
      <c r="F68" s="71" t="s">
        <v>396</v>
      </c>
    </row>
    <row r="69" spans="1:7" ht="13.5" thickBot="1" x14ac:dyDescent="0.25">
      <c r="A69" s="71" t="s">
        <v>397</v>
      </c>
      <c r="C69" s="168" t="s">
        <v>398</v>
      </c>
      <c r="D69" s="168"/>
      <c r="E69" s="71" t="s">
        <v>264</v>
      </c>
      <c r="F69" s="71" t="s">
        <v>399</v>
      </c>
      <c r="G69" s="83" t="s">
        <v>196</v>
      </c>
    </row>
    <row r="70" spans="1:7" ht="14.25" thickTop="1" thickBot="1" x14ac:dyDescent="0.25">
      <c r="A70" s="170"/>
      <c r="B70" s="172"/>
      <c r="C70" s="170"/>
      <c r="D70" s="172"/>
      <c r="E70" s="77"/>
      <c r="F70" s="77"/>
      <c r="G70" s="77">
        <f>INDEX(E,index)</f>
        <v>2.7</v>
      </c>
    </row>
    <row r="71" spans="1:7" ht="13.5" thickTop="1" x14ac:dyDescent="0.2"/>
    <row r="72" spans="1:7" ht="13.5" thickBot="1" x14ac:dyDescent="0.25">
      <c r="A72" s="72" t="s">
        <v>400</v>
      </c>
      <c r="G72" s="83" t="s">
        <v>401</v>
      </c>
    </row>
    <row r="73" spans="1:7" ht="13.5" thickBot="1" x14ac:dyDescent="0.25">
      <c r="A73" s="71" t="s">
        <v>402</v>
      </c>
      <c r="G73" s="101">
        <f>G33*G58*G70</f>
        <v>949.9032000000002</v>
      </c>
    </row>
    <row r="75" spans="1:7" ht="15.75" x14ac:dyDescent="0.25">
      <c r="A75" s="82" t="s">
        <v>403</v>
      </c>
    </row>
    <row r="76" spans="1:7" x14ac:dyDescent="0.2">
      <c r="A76" s="71" t="s">
        <v>385</v>
      </c>
    </row>
    <row r="77" spans="1:7" x14ac:dyDescent="0.2">
      <c r="A77" s="71" t="s">
        <v>404</v>
      </c>
    </row>
    <row r="78" spans="1:7" x14ac:dyDescent="0.2">
      <c r="A78" s="71" t="s">
        <v>405</v>
      </c>
    </row>
    <row r="80" spans="1:7" x14ac:dyDescent="0.2">
      <c r="A80" s="72" t="s">
        <v>406</v>
      </c>
    </row>
    <row r="81" spans="1:7" x14ac:dyDescent="0.2">
      <c r="F81" s="73" t="s">
        <v>407</v>
      </c>
    </row>
    <row r="82" spans="1:7" x14ac:dyDescent="0.2">
      <c r="B82" s="71" t="s">
        <v>408</v>
      </c>
      <c r="E82" s="73" t="s">
        <v>366</v>
      </c>
      <c r="F82" s="73" t="s">
        <v>409</v>
      </c>
      <c r="G82" s="71" t="s">
        <v>410</v>
      </c>
    </row>
    <row r="83" spans="1:7" x14ac:dyDescent="0.2">
      <c r="B83" s="71" t="s">
        <v>411</v>
      </c>
      <c r="E83" s="73" t="s">
        <v>412</v>
      </c>
      <c r="F83" s="73" t="s">
        <v>412</v>
      </c>
      <c r="G83" s="71" t="s">
        <v>413</v>
      </c>
    </row>
    <row r="84" spans="1:7" x14ac:dyDescent="0.2">
      <c r="A84" s="73" t="s">
        <v>368</v>
      </c>
      <c r="B84" s="168" t="s">
        <v>414</v>
      </c>
      <c r="C84" s="168"/>
      <c r="D84" s="71" t="s">
        <v>415</v>
      </c>
      <c r="E84" s="73" t="s">
        <v>416</v>
      </c>
      <c r="F84" s="73" t="s">
        <v>369</v>
      </c>
      <c r="G84" s="71" t="s">
        <v>368</v>
      </c>
    </row>
    <row r="85" spans="1:7" ht="13.5" thickBot="1" x14ac:dyDescent="0.25">
      <c r="A85" s="73"/>
      <c r="B85" s="169" t="s">
        <v>180</v>
      </c>
      <c r="C85" s="169"/>
      <c r="D85" s="83" t="s">
        <v>417</v>
      </c>
      <c r="E85" s="83" t="s">
        <v>418</v>
      </c>
      <c r="F85" s="83" t="s">
        <v>419</v>
      </c>
      <c r="G85" s="83" t="s">
        <v>420</v>
      </c>
    </row>
    <row r="86" spans="1:7" ht="14.25" thickTop="1" thickBot="1" x14ac:dyDescent="0.25">
      <c r="A86" s="71" t="s">
        <v>370</v>
      </c>
      <c r="B86" s="170"/>
      <c r="C86" s="172"/>
      <c r="D86" s="85"/>
      <c r="E86" s="86"/>
      <c r="F86" s="85"/>
      <c r="G86" s="81"/>
    </row>
    <row r="87" spans="1:7" ht="14.25" thickTop="1" thickBot="1" x14ac:dyDescent="0.25">
      <c r="A87" s="71" t="s">
        <v>371</v>
      </c>
      <c r="B87" s="170"/>
      <c r="C87" s="172"/>
      <c r="D87" s="85"/>
      <c r="E87" s="86"/>
      <c r="F87" s="85"/>
      <c r="G87" s="81"/>
    </row>
    <row r="88" spans="1:7" ht="14.25" thickTop="1" thickBot="1" x14ac:dyDescent="0.25">
      <c r="A88" s="71" t="s">
        <v>372</v>
      </c>
      <c r="B88" s="170"/>
      <c r="C88" s="172"/>
      <c r="D88" s="85"/>
      <c r="E88" s="86"/>
      <c r="F88" s="85"/>
      <c r="G88" s="81"/>
    </row>
    <row r="89" spans="1:7" ht="14.25" thickTop="1" thickBot="1" x14ac:dyDescent="0.25">
      <c r="A89" s="71" t="s">
        <v>373</v>
      </c>
      <c r="B89" s="170"/>
      <c r="C89" s="172"/>
      <c r="D89" s="85"/>
      <c r="E89" s="86"/>
      <c r="F89" s="85"/>
      <c r="G89" s="81"/>
    </row>
    <row r="90" spans="1:7" ht="14.25" thickTop="1" thickBot="1" x14ac:dyDescent="0.25">
      <c r="A90" s="71" t="s">
        <v>374</v>
      </c>
      <c r="B90" s="170"/>
      <c r="C90" s="172"/>
      <c r="D90" s="85"/>
      <c r="E90" s="86"/>
      <c r="F90" s="85"/>
      <c r="G90" s="81"/>
    </row>
    <row r="91" spans="1:7" ht="14.25" thickTop="1" thickBot="1" x14ac:dyDescent="0.25">
      <c r="A91" s="71" t="s">
        <v>375</v>
      </c>
      <c r="B91" s="170"/>
      <c r="C91" s="172"/>
      <c r="D91" s="85"/>
      <c r="E91" s="86"/>
      <c r="F91" s="85"/>
      <c r="G91" s="81"/>
    </row>
    <row r="92" spans="1:7" ht="14.25" thickTop="1" thickBot="1" x14ac:dyDescent="0.25">
      <c r="A92" s="71" t="s">
        <v>376</v>
      </c>
      <c r="B92" s="170"/>
      <c r="C92" s="172"/>
      <c r="D92" s="85"/>
      <c r="E92" s="86"/>
      <c r="F92" s="85"/>
      <c r="G92" s="81"/>
    </row>
    <row r="93" spans="1:7" ht="14.25" thickTop="1" thickBot="1" x14ac:dyDescent="0.25">
      <c r="A93" s="71" t="s">
        <v>377</v>
      </c>
      <c r="B93" s="170"/>
      <c r="C93" s="172"/>
      <c r="D93" s="85"/>
      <c r="E93" s="86"/>
      <c r="F93" s="85"/>
      <c r="G93" s="81"/>
    </row>
    <row r="94" spans="1:7" ht="14.25" thickTop="1" thickBot="1" x14ac:dyDescent="0.25">
      <c r="A94" s="71" t="s">
        <v>378</v>
      </c>
      <c r="B94" s="170"/>
      <c r="C94" s="172"/>
      <c r="D94" s="85"/>
      <c r="E94" s="86"/>
      <c r="F94" s="85"/>
      <c r="G94" s="81"/>
    </row>
    <row r="95" spans="1:7" ht="14.25" thickTop="1" thickBot="1" x14ac:dyDescent="0.25">
      <c r="A95" s="71" t="s">
        <v>379</v>
      </c>
      <c r="B95" s="170"/>
      <c r="C95" s="172"/>
      <c r="D95" s="85"/>
      <c r="E95" s="86"/>
      <c r="F95" s="85"/>
      <c r="G95" s="81"/>
    </row>
    <row r="96" spans="1:7" ht="14.25" thickTop="1" thickBot="1" x14ac:dyDescent="0.25">
      <c r="A96" s="71" t="s">
        <v>380</v>
      </c>
      <c r="B96" s="170"/>
      <c r="C96" s="172"/>
      <c r="D96" s="85"/>
      <c r="E96" s="86"/>
      <c r="F96" s="85"/>
      <c r="G96" s="81"/>
    </row>
    <row r="97" spans="1:7" ht="14.25" thickTop="1" thickBot="1" x14ac:dyDescent="0.25">
      <c r="A97" s="71" t="s">
        <v>381</v>
      </c>
      <c r="B97" s="170"/>
      <c r="C97" s="172"/>
      <c r="D97" s="85"/>
      <c r="E97" s="86"/>
      <c r="F97" s="85"/>
      <c r="G97" s="81"/>
    </row>
    <row r="98" spans="1:7" ht="13.5" thickTop="1" x14ac:dyDescent="0.2"/>
    <row r="99" spans="1:7" ht="13.5" thickBot="1" x14ac:dyDescent="0.25">
      <c r="G99" s="83" t="s">
        <v>421</v>
      </c>
    </row>
    <row r="100" spans="1:7" ht="13.5" thickBot="1" x14ac:dyDescent="0.25">
      <c r="C100" s="71" t="s">
        <v>422</v>
      </c>
      <c r="G100" s="81"/>
    </row>
    <row r="102" spans="1:7" x14ac:dyDescent="0.2">
      <c r="A102" s="72" t="s">
        <v>423</v>
      </c>
    </row>
    <row r="103" spans="1:7" x14ac:dyDescent="0.2">
      <c r="A103" s="71" t="s">
        <v>385</v>
      </c>
    </row>
    <row r="104" spans="1:7" x14ac:dyDescent="0.2">
      <c r="A104" s="71" t="s">
        <v>386</v>
      </c>
    </row>
    <row r="105" spans="1:7" x14ac:dyDescent="0.2">
      <c r="A105" s="71" t="s">
        <v>424</v>
      </c>
    </row>
    <row r="107" spans="1:7" x14ac:dyDescent="0.2">
      <c r="A107" s="71" t="s">
        <v>425</v>
      </c>
    </row>
    <row r="109" spans="1:7" x14ac:dyDescent="0.2">
      <c r="A109" s="71" t="s">
        <v>389</v>
      </c>
      <c r="C109" s="168" t="s">
        <v>390</v>
      </c>
      <c r="D109" s="168"/>
      <c r="E109" s="71" t="s">
        <v>391</v>
      </c>
    </row>
    <row r="110" spans="1:7" x14ac:dyDescent="0.2">
      <c r="A110" s="71" t="s">
        <v>393</v>
      </c>
      <c r="C110" s="168" t="s">
        <v>394</v>
      </c>
      <c r="D110" s="168"/>
      <c r="E110" s="71" t="s">
        <v>395</v>
      </c>
    </row>
    <row r="111" spans="1:7" ht="13.5" thickBot="1" x14ac:dyDescent="0.25">
      <c r="A111" s="71" t="s">
        <v>397</v>
      </c>
      <c r="C111" s="168" t="s">
        <v>398</v>
      </c>
      <c r="D111" s="168"/>
      <c r="E111" s="71" t="s">
        <v>264</v>
      </c>
      <c r="F111" s="71" t="s">
        <v>392</v>
      </c>
      <c r="G111" s="83" t="s">
        <v>426</v>
      </c>
    </row>
    <row r="112" spans="1:7" ht="14.25" thickTop="1" thickBot="1" x14ac:dyDescent="0.25">
      <c r="A112" s="170"/>
      <c r="B112" s="172"/>
      <c r="C112" s="170"/>
      <c r="D112" s="172"/>
      <c r="E112" s="77"/>
      <c r="F112" s="77"/>
      <c r="G112" s="77"/>
    </row>
    <row r="113" spans="1:7" ht="13.5" thickTop="1" x14ac:dyDescent="0.2"/>
    <row r="114" spans="1:7" x14ac:dyDescent="0.2">
      <c r="A114" s="72" t="s">
        <v>427</v>
      </c>
    </row>
    <row r="115" spans="1:7" ht="13.5" thickBot="1" x14ac:dyDescent="0.25">
      <c r="G115" s="83" t="s">
        <v>428</v>
      </c>
    </row>
    <row r="116" spans="1:7" ht="13.5" thickBot="1" x14ac:dyDescent="0.25">
      <c r="D116" s="71" t="s">
        <v>429</v>
      </c>
      <c r="G116" s="81"/>
    </row>
    <row r="119" spans="1:7" ht="15.75" x14ac:dyDescent="0.25">
      <c r="A119" s="82" t="s">
        <v>430</v>
      </c>
    </row>
    <row r="120" spans="1:7" x14ac:dyDescent="0.2">
      <c r="A120" s="71" t="s">
        <v>431</v>
      </c>
    </row>
    <row r="121" spans="1:7" x14ac:dyDescent="0.2">
      <c r="A121" s="71" t="s">
        <v>432</v>
      </c>
    </row>
    <row r="122" spans="1:7" x14ac:dyDescent="0.2">
      <c r="A122" s="71" t="s">
        <v>433</v>
      </c>
    </row>
    <row r="124" spans="1:7" x14ac:dyDescent="0.2">
      <c r="A124" s="73" t="s">
        <v>434</v>
      </c>
      <c r="B124" s="73" t="s">
        <v>218</v>
      </c>
      <c r="G124" s="73" t="s">
        <v>435</v>
      </c>
    </row>
    <row r="125" spans="1:7" x14ac:dyDescent="0.2">
      <c r="A125" s="73" t="s">
        <v>436</v>
      </c>
      <c r="B125" s="73" t="s">
        <v>219</v>
      </c>
      <c r="G125" s="73" t="s">
        <v>437</v>
      </c>
    </row>
    <row r="126" spans="1:7" x14ac:dyDescent="0.2">
      <c r="A126" s="73" t="s">
        <v>413</v>
      </c>
      <c r="B126" s="73" t="s">
        <v>311</v>
      </c>
      <c r="G126" s="73" t="s">
        <v>336</v>
      </c>
    </row>
    <row r="127" spans="1:7" x14ac:dyDescent="0.2">
      <c r="A127" s="73" t="s">
        <v>438</v>
      </c>
      <c r="B127" s="73" t="s">
        <v>313</v>
      </c>
      <c r="G127" s="73" t="s">
        <v>439</v>
      </c>
    </row>
    <row r="128" spans="1:7" x14ac:dyDescent="0.2">
      <c r="A128" s="73" t="s">
        <v>440</v>
      </c>
      <c r="B128" s="83" t="s">
        <v>205</v>
      </c>
      <c r="G128" s="73" t="s">
        <v>441</v>
      </c>
    </row>
    <row r="129" spans="1:7" ht="13.5" thickBot="1" x14ac:dyDescent="0.25">
      <c r="A129" s="83" t="s">
        <v>442</v>
      </c>
      <c r="B129" s="83" t="s">
        <v>443</v>
      </c>
      <c r="G129" s="83" t="s">
        <v>444</v>
      </c>
    </row>
    <row r="130" spans="1:7" ht="14.25" thickTop="1" thickBot="1" x14ac:dyDescent="0.25">
      <c r="A130" s="77"/>
      <c r="B130" s="77"/>
      <c r="E130" s="72" t="s">
        <v>445</v>
      </c>
      <c r="G130" s="81"/>
    </row>
    <row r="131" spans="1:7" ht="13.5" thickTop="1" x14ac:dyDescent="0.2"/>
    <row r="133" spans="1:7" ht="15.75" x14ac:dyDescent="0.25">
      <c r="A133" s="82" t="s">
        <v>446</v>
      </c>
    </row>
    <row r="135" spans="1:7" x14ac:dyDescent="0.2">
      <c r="A135" s="71" t="s">
        <v>447</v>
      </c>
    </row>
    <row r="136" spans="1:7" x14ac:dyDescent="0.2">
      <c r="A136" s="71" t="s">
        <v>448</v>
      </c>
    </row>
    <row r="137" spans="1:7" ht="13.5" thickBot="1" x14ac:dyDescent="0.25">
      <c r="G137" s="83" t="s">
        <v>280</v>
      </c>
    </row>
    <row r="138" spans="1:7" ht="13.5" thickBot="1" x14ac:dyDescent="0.25">
      <c r="A138" s="83" t="s">
        <v>280</v>
      </c>
      <c r="B138" s="83" t="s">
        <v>401</v>
      </c>
      <c r="C138" s="83" t="s">
        <v>252</v>
      </c>
      <c r="D138" s="83" t="s">
        <v>428</v>
      </c>
      <c r="E138" s="83" t="s">
        <v>449</v>
      </c>
      <c r="F138" s="83" t="s">
        <v>444</v>
      </c>
      <c r="G138" s="101">
        <f>G73+G130</f>
        <v>949.9032000000002</v>
      </c>
    </row>
  </sheetData>
  <mergeCells count="34">
    <mergeCell ref="C110:D110"/>
    <mergeCell ref="C111:D111"/>
    <mergeCell ref="A112:B112"/>
    <mergeCell ref="C112:D112"/>
    <mergeCell ref="A27:E27"/>
    <mergeCell ref="B97:C97"/>
    <mergeCell ref="C109:D109"/>
    <mergeCell ref="B86:C86"/>
    <mergeCell ref="A28:E28"/>
    <mergeCell ref="A29:E29"/>
    <mergeCell ref="A31:E31"/>
    <mergeCell ref="C67:D67"/>
    <mergeCell ref="C68:D68"/>
    <mergeCell ref="C69:D69"/>
    <mergeCell ref="A70:B70"/>
    <mergeCell ref="C70:D70"/>
    <mergeCell ref="B93:C93"/>
    <mergeCell ref="B94:C94"/>
    <mergeCell ref="B95:C95"/>
    <mergeCell ref="B96:C96"/>
    <mergeCell ref="B87:C87"/>
    <mergeCell ref="B88:C88"/>
    <mergeCell ref="B89:C89"/>
    <mergeCell ref="B90:C90"/>
    <mergeCell ref="B91:C91"/>
    <mergeCell ref="B92:C92"/>
    <mergeCell ref="B84:C84"/>
    <mergeCell ref="B85:C85"/>
    <mergeCell ref="A30:E30"/>
    <mergeCell ref="A22:E22"/>
    <mergeCell ref="A23:E23"/>
    <mergeCell ref="A24:E24"/>
    <mergeCell ref="A25:E25"/>
    <mergeCell ref="A26:E26"/>
  </mergeCells>
  <printOptions gridLines="1"/>
  <pageMargins left="0.5" right="0.5" top="0.5" bottom="0.5" header="0.5" footer="0.5"/>
  <pageSetup orientation="portrait" r:id="rId1"/>
  <headerFooter alignWithMargins="0">
    <oddFooter>&amp;C
Page &amp;P of &amp;N</oddFooter>
  </headerFooter>
  <rowBreaks count="2" manualBreakCount="2">
    <brk id="54" max="6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"/>
  <sheetViews>
    <sheetView workbookViewId="0"/>
  </sheetViews>
  <sheetFormatPr defaultColWidth="9" defaultRowHeight="12.75" x14ac:dyDescent="0.2"/>
  <cols>
    <col min="1" max="1" width="18.375" style="71" customWidth="1"/>
    <col min="2" max="2" width="10.625" style="71" customWidth="1"/>
    <col min="3" max="3" width="15.375" style="71" bestFit="1" customWidth="1"/>
    <col min="4" max="4" width="25.375" style="71" bestFit="1" customWidth="1"/>
    <col min="5" max="16384" width="9" style="71"/>
  </cols>
  <sheetData>
    <row r="1" spans="1:6" ht="18" x14ac:dyDescent="0.25">
      <c r="A1" s="70" t="s">
        <v>450</v>
      </c>
      <c r="B1" s="70"/>
    </row>
    <row r="2" spans="1:6" ht="12.75" customHeight="1" x14ac:dyDescent="0.25">
      <c r="A2" s="70"/>
      <c r="B2" s="70"/>
      <c r="D2" s="72"/>
    </row>
    <row r="3" spans="1:6" x14ac:dyDescent="0.2">
      <c r="A3" s="71" t="s">
        <v>451</v>
      </c>
    </row>
    <row r="4" spans="1:6" x14ac:dyDescent="0.2">
      <c r="A4" s="71" t="s">
        <v>210</v>
      </c>
      <c r="B4" s="14" t="str">
        <f>INDEX(Utility_Name,index)</f>
        <v>GASPARILLA ISLAND WATER ASSOC.</v>
      </c>
    </row>
    <row r="5" spans="1:6" x14ac:dyDescent="0.2">
      <c r="A5" s="71" t="s">
        <v>209</v>
      </c>
      <c r="B5" s="14">
        <f>INDEX(WUP,index)</f>
        <v>718</v>
      </c>
    </row>
    <row r="6" spans="1:6" ht="13.5" thickBot="1" x14ac:dyDescent="0.25">
      <c r="A6" s="71" t="s">
        <v>345</v>
      </c>
      <c r="B6" s="14">
        <f>INDEX(Year,index)</f>
        <v>2022</v>
      </c>
    </row>
    <row r="7" spans="1:6" ht="14.25" thickTop="1" thickBot="1" x14ac:dyDescent="0.25">
      <c r="A7" s="87" t="s">
        <v>346</v>
      </c>
      <c r="B7" s="88"/>
      <c r="C7" s="89"/>
      <c r="D7" s="89"/>
      <c r="F7" s="77"/>
    </row>
    <row r="8" spans="1:6" ht="14.25" thickTop="1" thickBot="1" x14ac:dyDescent="0.25">
      <c r="A8" s="78" t="s">
        <v>292</v>
      </c>
      <c r="B8" s="90"/>
      <c r="C8" s="79"/>
      <c r="D8" s="79"/>
      <c r="F8" s="81"/>
    </row>
    <row r="10" spans="1:6" x14ac:dyDescent="0.2">
      <c r="A10" s="71" t="s">
        <v>452</v>
      </c>
    </row>
    <row r="11" spans="1:6" x14ac:dyDescent="0.2">
      <c r="A11" s="71" t="s">
        <v>453</v>
      </c>
    </row>
    <row r="13" spans="1:6" ht="13.5" thickBot="1" x14ac:dyDescent="0.25"/>
    <row r="14" spans="1:6" ht="15" x14ac:dyDescent="0.2">
      <c r="A14" s="173" t="s">
        <v>454</v>
      </c>
      <c r="B14" s="174"/>
      <c r="C14" s="91" t="s">
        <v>455</v>
      </c>
      <c r="D14" s="92" t="s">
        <v>456</v>
      </c>
    </row>
    <row r="15" spans="1:6" ht="15.75" thickBot="1" x14ac:dyDescent="0.25">
      <c r="A15" s="93" t="s">
        <v>457</v>
      </c>
      <c r="B15" s="94" t="s">
        <v>458</v>
      </c>
      <c r="C15" s="95" t="s">
        <v>459</v>
      </c>
      <c r="D15" s="96" t="s">
        <v>460</v>
      </c>
    </row>
    <row r="16" spans="1:6" ht="14.25" thickTop="1" thickBot="1" x14ac:dyDescent="0.25">
      <c r="A16" s="77"/>
      <c r="B16" s="77"/>
      <c r="C16" s="77"/>
      <c r="D16" s="77"/>
    </row>
    <row r="17" spans="1:4" ht="14.25" thickTop="1" thickBot="1" x14ac:dyDescent="0.25">
      <c r="A17" s="77"/>
      <c r="B17" s="77"/>
      <c r="C17" s="77"/>
      <c r="D17" s="77"/>
    </row>
    <row r="18" spans="1:4" ht="14.25" thickTop="1" thickBot="1" x14ac:dyDescent="0.25">
      <c r="A18" s="77"/>
      <c r="B18" s="77"/>
      <c r="C18" s="77"/>
      <c r="D18" s="77"/>
    </row>
    <row r="19" spans="1:4" ht="14.25" thickTop="1" thickBot="1" x14ac:dyDescent="0.25">
      <c r="A19" s="77"/>
      <c r="B19" s="77"/>
      <c r="C19" s="77"/>
      <c r="D19" s="77"/>
    </row>
    <row r="20" spans="1:4" ht="14.25" thickTop="1" thickBot="1" x14ac:dyDescent="0.25">
      <c r="A20" s="77"/>
      <c r="B20" s="77"/>
      <c r="C20" s="77"/>
      <c r="D20" s="77"/>
    </row>
    <row r="21" spans="1:4" ht="14.25" thickTop="1" thickBot="1" x14ac:dyDescent="0.25">
      <c r="A21" s="77"/>
      <c r="B21" s="77"/>
      <c r="C21" s="77"/>
      <c r="D21" s="77"/>
    </row>
    <row r="22" spans="1:4" ht="14.25" thickTop="1" thickBot="1" x14ac:dyDescent="0.25">
      <c r="A22" s="77"/>
      <c r="B22" s="77"/>
      <c r="C22" s="77"/>
      <c r="D22" s="77"/>
    </row>
    <row r="23" spans="1:4" ht="14.25" thickTop="1" thickBot="1" x14ac:dyDescent="0.25">
      <c r="A23" s="77"/>
      <c r="B23" s="77"/>
      <c r="C23" s="77"/>
      <c r="D23" s="77"/>
    </row>
    <row r="24" spans="1:4" ht="14.25" thickTop="1" thickBot="1" x14ac:dyDescent="0.25">
      <c r="A24" s="77"/>
      <c r="B24" s="77"/>
      <c r="C24" s="77"/>
      <c r="D24" s="77"/>
    </row>
    <row r="25" spans="1:4" ht="14.25" thickTop="1" thickBot="1" x14ac:dyDescent="0.25">
      <c r="A25" s="77"/>
      <c r="B25" s="77"/>
      <c r="C25" s="77"/>
      <c r="D25" s="77"/>
    </row>
    <row r="26" spans="1:4" ht="14.25" thickTop="1" thickBot="1" x14ac:dyDescent="0.25">
      <c r="A26" s="77"/>
      <c r="B26" s="77"/>
      <c r="C26" s="77"/>
      <c r="D26" s="77"/>
    </row>
    <row r="27" spans="1:4" ht="14.25" thickTop="1" thickBot="1" x14ac:dyDescent="0.25">
      <c r="A27" s="77"/>
      <c r="B27" s="77"/>
      <c r="C27" s="77"/>
      <c r="D27" s="77"/>
    </row>
    <row r="28" spans="1:4" ht="14.25" thickTop="1" thickBot="1" x14ac:dyDescent="0.25">
      <c r="A28" s="77"/>
      <c r="B28" s="77"/>
      <c r="C28" s="77"/>
      <c r="D28" s="77"/>
    </row>
    <row r="29" spans="1:4" ht="14.25" thickTop="1" thickBot="1" x14ac:dyDescent="0.25">
      <c r="A29" s="77"/>
      <c r="B29" s="77"/>
      <c r="C29" s="77"/>
      <c r="D29" s="77"/>
    </row>
    <row r="30" spans="1:4" ht="14.25" thickTop="1" thickBot="1" x14ac:dyDescent="0.25">
      <c r="A30" s="77"/>
      <c r="B30" s="77"/>
      <c r="C30" s="77"/>
      <c r="D30" s="77"/>
    </row>
    <row r="31" spans="1:4" ht="14.25" thickTop="1" thickBot="1" x14ac:dyDescent="0.25">
      <c r="C31" s="83" t="s">
        <v>358</v>
      </c>
      <c r="D31" s="83" t="s">
        <v>179</v>
      </c>
    </row>
    <row r="32" spans="1:4" ht="15.75" thickBot="1" x14ac:dyDescent="0.25">
      <c r="A32" s="97" t="s">
        <v>461</v>
      </c>
      <c r="B32" s="97"/>
      <c r="C32" s="81"/>
      <c r="D32" s="81"/>
    </row>
    <row r="34" spans="1:4" ht="15" x14ac:dyDescent="0.2">
      <c r="A34" s="98" t="s">
        <v>462</v>
      </c>
      <c r="B34" s="98"/>
    </row>
    <row r="35" spans="1:4" ht="16.5" thickBot="1" x14ac:dyDescent="0.3">
      <c r="A35" s="98" t="s">
        <v>463</v>
      </c>
      <c r="B35" s="98"/>
      <c r="D35" s="99" t="s">
        <v>464</v>
      </c>
    </row>
    <row r="36" spans="1:4" ht="15.75" thickBot="1" x14ac:dyDescent="0.25">
      <c r="A36" s="98" t="s">
        <v>465</v>
      </c>
      <c r="B36" s="98"/>
      <c r="D36" s="104">
        <f>INDEX(C_A_B,index)</f>
        <v>1.7223599999999999E-2</v>
      </c>
    </row>
    <row r="38" spans="1:4" ht="16.5" thickBot="1" x14ac:dyDescent="0.3">
      <c r="A38" s="98" t="s">
        <v>466</v>
      </c>
      <c r="B38" s="98"/>
      <c r="D38" s="99" t="s">
        <v>467</v>
      </c>
    </row>
    <row r="39" spans="1:4" ht="15.75" thickBot="1" x14ac:dyDescent="0.25">
      <c r="A39" s="98" t="s">
        <v>468</v>
      </c>
      <c r="B39" s="98"/>
      <c r="D39" s="103">
        <f>D36*'Indexed B-Service Area Summary'!B24</f>
        <v>0</v>
      </c>
    </row>
    <row r="40" spans="1:4" x14ac:dyDescent="0.2">
      <c r="A40" s="84" t="s">
        <v>469</v>
      </c>
      <c r="B40" s="84"/>
    </row>
    <row r="41" spans="1:4" x14ac:dyDescent="0.2">
      <c r="A41" s="84" t="s">
        <v>470</v>
      </c>
      <c r="B41" s="84"/>
    </row>
    <row r="43" spans="1:4" ht="15" x14ac:dyDescent="0.2">
      <c r="A43" s="98" t="s">
        <v>471</v>
      </c>
      <c r="B43" s="98"/>
    </row>
    <row r="44" spans="1:4" ht="16.5" thickBot="1" x14ac:dyDescent="0.3">
      <c r="A44" s="98" t="s">
        <v>472</v>
      </c>
      <c r="B44" s="98"/>
      <c r="D44" s="100" t="s">
        <v>473</v>
      </c>
    </row>
    <row r="45" spans="1:4" ht="15.75" thickBot="1" x14ac:dyDescent="0.25">
      <c r="A45" s="98" t="s">
        <v>473</v>
      </c>
      <c r="B45" s="98"/>
      <c r="D45" s="103">
        <f>D39*(8/24)*(5/7)</f>
        <v>0</v>
      </c>
    </row>
  </sheetData>
  <mergeCells count="1">
    <mergeCell ref="A14:B14"/>
  </mergeCells>
  <printOptions gridLines="1"/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30"/>
  <sheetViews>
    <sheetView workbookViewId="0">
      <selection activeCell="J7" sqref="J7:K7"/>
    </sheetView>
  </sheetViews>
  <sheetFormatPr defaultColWidth="9" defaultRowHeight="14.25" x14ac:dyDescent="0.2"/>
  <cols>
    <col min="1" max="1" width="10.875" bestFit="1" customWidth="1"/>
    <col min="2" max="2" width="25.75" customWidth="1"/>
    <col min="3" max="3" width="24.25" customWidth="1"/>
    <col min="4" max="4" width="7.5" bestFit="1" customWidth="1"/>
    <col min="5" max="5" width="10.5" bestFit="1" customWidth="1"/>
    <col min="6" max="6" width="15" bestFit="1" customWidth="1"/>
    <col min="7" max="7" width="10.25" bestFit="1" customWidth="1"/>
    <col min="8" max="8" width="13.75" bestFit="1" customWidth="1"/>
    <col min="9" max="9" width="17.25" bestFit="1" customWidth="1"/>
    <col min="10" max="10" width="12.25" bestFit="1" customWidth="1"/>
    <col min="11" max="11" width="12.875" bestFit="1" customWidth="1"/>
    <col min="12" max="12" width="11.375" bestFit="1" customWidth="1"/>
    <col min="13" max="13" width="10.5" bestFit="1" customWidth="1"/>
    <col min="14" max="14" width="15.125" bestFit="1" customWidth="1"/>
    <col min="15" max="15" width="13.125" bestFit="1" customWidth="1"/>
    <col min="16" max="16" width="11.5" customWidth="1"/>
    <col min="17" max="17" width="9.125" bestFit="1" customWidth="1"/>
    <col min="18" max="18" width="12.625" bestFit="1" customWidth="1"/>
    <col min="19" max="19" width="8.625" bestFit="1" customWidth="1"/>
    <col min="20" max="20" width="10.125" bestFit="1" customWidth="1"/>
    <col min="21" max="21" width="11.5" bestFit="1" customWidth="1"/>
    <col min="22" max="25" width="16" bestFit="1" customWidth="1"/>
    <col min="26" max="29" width="13.375" bestFit="1" customWidth="1"/>
  </cols>
  <sheetData>
    <row r="1" spans="1:29" ht="15" customHeight="1" x14ac:dyDescent="0.25">
      <c r="A1" s="68" t="s">
        <v>341</v>
      </c>
      <c r="K1" s="69"/>
    </row>
    <row r="2" spans="1:29" ht="15" customHeight="1" x14ac:dyDescent="0.25">
      <c r="A2" s="68" t="s">
        <v>342</v>
      </c>
      <c r="K2" s="69"/>
    </row>
    <row r="3" spans="1:29" s="5" customFormat="1" ht="15" customHeight="1" x14ac:dyDescent="0.25">
      <c r="A3" s="4"/>
      <c r="B3" s="4"/>
      <c r="L3" s="6"/>
    </row>
    <row r="4" spans="1:29" s="5" customFormat="1" ht="99" customHeight="1" x14ac:dyDescent="0.25">
      <c r="A4" s="7"/>
      <c r="B4" s="7"/>
      <c r="C4" s="116"/>
      <c r="D4" s="118" t="s">
        <v>729</v>
      </c>
      <c r="E4" s="158" t="s">
        <v>36</v>
      </c>
      <c r="F4" s="118" t="s">
        <v>730</v>
      </c>
      <c r="G4" s="118" t="s">
        <v>731</v>
      </c>
      <c r="H4" s="118" t="s">
        <v>732</v>
      </c>
      <c r="I4" s="118" t="s">
        <v>733</v>
      </c>
      <c r="J4" s="118" t="s">
        <v>734</v>
      </c>
      <c r="K4" s="118" t="s">
        <v>735</v>
      </c>
      <c r="L4" s="118" t="s">
        <v>736</v>
      </c>
      <c r="M4" s="118" t="s">
        <v>737</v>
      </c>
      <c r="N4" s="118" t="s">
        <v>738</v>
      </c>
      <c r="O4" s="119" t="s">
        <v>739</v>
      </c>
      <c r="P4" s="118" t="s">
        <v>740</v>
      </c>
      <c r="Q4" s="117" t="s">
        <v>949</v>
      </c>
      <c r="R4" s="118" t="s">
        <v>741</v>
      </c>
      <c r="S4" s="118" t="s">
        <v>742</v>
      </c>
    </row>
    <row r="5" spans="1:29" s="5" customFormat="1" ht="15" x14ac:dyDescent="0.25">
      <c r="A5" s="4" t="s">
        <v>178</v>
      </c>
      <c r="B5" s="4"/>
      <c r="C5" s="8"/>
      <c r="D5" s="8"/>
      <c r="E5" s="9"/>
      <c r="F5" s="9" t="s">
        <v>179</v>
      </c>
      <c r="G5" s="9" t="s">
        <v>179</v>
      </c>
      <c r="H5" s="9" t="s">
        <v>179</v>
      </c>
      <c r="I5" s="9" t="s">
        <v>179</v>
      </c>
      <c r="J5" s="9" t="s">
        <v>179</v>
      </c>
      <c r="K5" s="9" t="s">
        <v>179</v>
      </c>
      <c r="L5" s="9" t="s">
        <v>179</v>
      </c>
      <c r="M5" s="9" t="s">
        <v>179</v>
      </c>
      <c r="N5" s="9" t="s">
        <v>179</v>
      </c>
      <c r="O5" s="9" t="s">
        <v>179</v>
      </c>
      <c r="P5" s="9" t="s">
        <v>179</v>
      </c>
      <c r="Q5" s="10" t="s">
        <v>180</v>
      </c>
      <c r="R5" s="9" t="s">
        <v>180</v>
      </c>
      <c r="S5" s="9" t="s">
        <v>181</v>
      </c>
    </row>
    <row r="6" spans="1:29" s="1" customFormat="1" ht="15" x14ac:dyDescent="0.25">
      <c r="A6" s="3" t="s">
        <v>10</v>
      </c>
      <c r="B6" s="3" t="s">
        <v>340</v>
      </c>
      <c r="C6" s="3" t="s">
        <v>183</v>
      </c>
      <c r="D6" s="3" t="s">
        <v>204</v>
      </c>
      <c r="E6" s="3" t="s">
        <v>36</v>
      </c>
      <c r="F6" s="3" t="s">
        <v>184</v>
      </c>
      <c r="G6" s="3" t="s">
        <v>185</v>
      </c>
      <c r="H6" s="3" t="s">
        <v>186</v>
      </c>
      <c r="I6" s="3" t="s">
        <v>187</v>
      </c>
      <c r="J6" s="3" t="s">
        <v>188</v>
      </c>
      <c r="K6" s="3" t="s">
        <v>189</v>
      </c>
      <c r="L6" s="3" t="s">
        <v>190</v>
      </c>
      <c r="M6" s="3" t="s">
        <v>191</v>
      </c>
      <c r="N6" s="3" t="s">
        <v>192</v>
      </c>
      <c r="O6" s="3" t="s">
        <v>193</v>
      </c>
      <c r="P6" s="3" t="s">
        <v>194</v>
      </c>
      <c r="Q6" s="3" t="s">
        <v>195</v>
      </c>
      <c r="R6" s="3" t="s">
        <v>196</v>
      </c>
      <c r="S6" s="3" t="s">
        <v>197</v>
      </c>
      <c r="T6" s="67" t="s">
        <v>288</v>
      </c>
      <c r="U6" s="67" t="s">
        <v>280</v>
      </c>
      <c r="V6" s="67" t="s">
        <v>703</v>
      </c>
      <c r="W6" s="67" t="s">
        <v>704</v>
      </c>
      <c r="X6" s="67" t="s">
        <v>705</v>
      </c>
      <c r="Y6" s="67" t="s">
        <v>702</v>
      </c>
      <c r="Z6" s="67" t="s">
        <v>706</v>
      </c>
      <c r="AA6" s="67" t="s">
        <v>707</v>
      </c>
      <c r="AB6" s="67" t="s">
        <v>708</v>
      </c>
      <c r="AC6" s="67" t="s">
        <v>709</v>
      </c>
    </row>
    <row r="7" spans="1:29" ht="15" x14ac:dyDescent="0.25">
      <c r="A7" s="11" t="s">
        <v>50</v>
      </c>
      <c r="B7" s="11" t="s">
        <v>492</v>
      </c>
      <c r="C7" s="11" t="s">
        <v>107</v>
      </c>
      <c r="D7" s="11">
        <v>718</v>
      </c>
      <c r="E7" s="11">
        <v>2022</v>
      </c>
      <c r="F7" s="12">
        <f>VLOOKUP($D7,'2022Data to Complete Appendix C'!$C$8:$Q$313,2,FALSE)</f>
        <v>1602</v>
      </c>
      <c r="G7" s="12">
        <f>VLOOKUP($D7,'2022Data to Complete Appendix C'!$C$8:$Q$313,3,FALSE)</f>
        <v>850</v>
      </c>
      <c r="H7" s="12">
        <f>VLOOKUP($D7,'2022Data to Complete Appendix C'!$C$8:$Q$313,4,FALSE)</f>
        <v>160</v>
      </c>
      <c r="I7" s="12">
        <f>VLOOKUP($D7,'2022Data to Complete Appendix C'!$C$8:$Q$313,5,FALSE)</f>
        <v>1924</v>
      </c>
      <c r="J7" s="114">
        <v>2.2999999999999998</v>
      </c>
      <c r="K7" s="114">
        <v>2.2999999999999998</v>
      </c>
      <c r="L7" s="114">
        <f>VLOOKUP($D7,'2022Data to Complete Appendix C'!$C$8:$Q$313,8,FALSE)</f>
        <v>1.4172800000000001</v>
      </c>
      <c r="M7" s="12">
        <f>VLOOKUP($D7,'2022Data to Complete Appendix C'!$C$8:$Q$313,9,FALSE)</f>
        <v>342.80799999999999</v>
      </c>
      <c r="N7" s="114">
        <f>VLOOKUP($D7,'2022Data to Complete Appendix C'!$C$8:$Q$313,10,FALSE)</f>
        <v>0.28739599999999998</v>
      </c>
      <c r="O7" s="115">
        <f>VLOOKUP($D7,'2022Data to Complete Appendix C'!$C$8:$Q$313,11,FALSE)</f>
        <v>0.442</v>
      </c>
      <c r="P7" s="115">
        <f>VLOOKUP($D7,'2022Data to Complete Appendix C'!$C$8:$Q$313,12,FALSE)</f>
        <v>0.70704999999999996</v>
      </c>
      <c r="Q7" s="115">
        <f>VLOOKUP($D7,'2022Data to Complete Appendix C'!$C$8:$Q$313,13,FALSE)</f>
        <v>0.64200000000000002</v>
      </c>
      <c r="R7" s="114">
        <f>VLOOKUP($D7,'2022Data to Complete Appendix C'!$C$8:$Q$313,14,FALSE)</f>
        <v>2.7</v>
      </c>
      <c r="S7" s="115">
        <f>VLOOKUP($D7,'2022Data to Complete Appendix C'!$C$8:$Q$313,15,FALSE)</f>
        <v>1.7223599999999999E-2</v>
      </c>
      <c r="T7" s="12">
        <f>IFERROR(VLOOKUP($D7,'2022LodgingbyWUP'!$A$1:$D$98,4,FALSE),0)</f>
        <v>548</v>
      </c>
      <c r="U7" s="12">
        <f>IF(T7&gt;0,T7*Q7*R7,0)</f>
        <v>949.9032000000002</v>
      </c>
      <c r="V7" s="12">
        <f>IFERROR(VLOOKUP($D7,Total_DU!$B$5:$Z$174,22,0),0)</f>
        <v>1988</v>
      </c>
      <c r="W7" s="12">
        <f>IFERROR(VLOOKUP($D7,Total_DU!$B$5:$Z$174,23,0),0)</f>
        <v>1990</v>
      </c>
      <c r="X7" s="12">
        <f>IFERROR(VLOOKUP($D7,Total_DU!$B$5:$Z$174,24,0),0)</f>
        <v>2003</v>
      </c>
      <c r="Y7" s="12">
        <f>IFERROR(VLOOKUP($D7,Total_DU!$B$5:$Z$174,25,0),0)</f>
        <v>2013</v>
      </c>
      <c r="Z7" s="12">
        <f>IFERROR(VLOOKUP($D7,Population!$B$5:$Y$174,21,FALSE),0)</f>
        <v>6092</v>
      </c>
      <c r="AA7" s="12">
        <f>IFERROR(VLOOKUP($D7,Population!$B$5:$Y$174,22,FALSE),0)</f>
        <v>6143</v>
      </c>
      <c r="AB7" s="12">
        <f>IFERROR(VLOOKUP($D7,Population!$B$5:$Y$174,23,FALSE),0)</f>
        <v>6150</v>
      </c>
      <c r="AC7" s="12">
        <f>IFERROR(VLOOKUP($D7,Population!$B$5:$Y$174,24,FALSE),0)</f>
        <v>6254</v>
      </c>
    </row>
    <row r="8" spans="1:29" ht="15" x14ac:dyDescent="0.25">
      <c r="A8" s="2" t="s">
        <v>50</v>
      </c>
      <c r="B8" s="2" t="s">
        <v>493</v>
      </c>
      <c r="C8" s="2" t="s">
        <v>81</v>
      </c>
      <c r="D8" s="2">
        <v>871</v>
      </c>
      <c r="E8" s="11">
        <v>2022</v>
      </c>
      <c r="F8" s="12">
        <f>VLOOKUP($D8,'2022Data to Complete Appendix C'!$C$8:$Q$313,2,FALSE)</f>
        <v>26665</v>
      </c>
      <c r="G8" s="12">
        <f>VLOOKUP($D8,'2022Data to Complete Appendix C'!$C$8:$Q$313,3,FALSE)</f>
        <v>13450</v>
      </c>
      <c r="H8" s="12">
        <f>VLOOKUP($D8,'2022Data to Complete Appendix C'!$C$8:$Q$313,4,FALSE)</f>
        <v>764</v>
      </c>
      <c r="I8" s="12">
        <f>VLOOKUP($D8,'2022Data to Complete Appendix C'!$C$8:$Q$313,5,FALSE)</f>
        <v>18351</v>
      </c>
      <c r="J8" s="114">
        <f>VLOOKUP($D8,'2022Data to Complete Appendix C'!$C$8:$Q$313,6,FALSE)</f>
        <v>1.9825299999999999</v>
      </c>
      <c r="K8" s="114">
        <f>VLOOKUP($D8,'2022Data to Complete Appendix C'!$C$8:$Q$313,7,FALSE)</f>
        <v>1.95</v>
      </c>
      <c r="L8" s="114">
        <f>VLOOKUP($D8,'2022Data to Complete Appendix C'!$C$8:$Q$313,8,FALSE)</f>
        <v>1.22773</v>
      </c>
      <c r="M8" s="12">
        <f>VLOOKUP($D8,'2022Data to Complete Appendix C'!$C$8:$Q$313,9,FALSE)</f>
        <v>3114.02</v>
      </c>
      <c r="N8" s="114">
        <f>VLOOKUP($D8,'2022Data to Complete Appendix C'!$C$8:$Q$313,10,FALSE)</f>
        <v>0.187999</v>
      </c>
      <c r="O8" s="115">
        <f>VLOOKUP($D8,'2022Data to Complete Appendix C'!$C$8:$Q$313,11,FALSE)</f>
        <v>0.442</v>
      </c>
      <c r="P8" s="115">
        <f>VLOOKUP($D8,'2022Data to Complete Appendix C'!$C$8:$Q$313,12,FALSE)</f>
        <v>0.70704999999999996</v>
      </c>
      <c r="Q8" s="115">
        <f>VLOOKUP($D8,'2022Data to Complete Appendix C'!$C$8:$Q$313,13,FALSE)</f>
        <v>0.64200000000000002</v>
      </c>
      <c r="R8" s="114">
        <f>VLOOKUP($D8,'2022Data to Complete Appendix C'!$C$8:$Q$313,14,FALSE)</f>
        <v>2.7</v>
      </c>
      <c r="S8" s="115">
        <f>VLOOKUP($D8,'2022Data to Complete Appendix C'!$C$8:$Q$313,15,FALSE)</f>
        <v>0.168099</v>
      </c>
      <c r="T8" s="12">
        <f>IFERROR(VLOOKUP($D8,'2022LodgingbyWUP'!$A$1:$D$98,4,FALSE),0)</f>
        <v>915</v>
      </c>
      <c r="U8" s="12">
        <f t="shared" ref="U8:U62" si="0">IF(T8&gt;0,T8*Q8*R8,0)</f>
        <v>1586.0610000000004</v>
      </c>
      <c r="V8" s="12">
        <f>IFERROR(VLOOKUP($D8,Total_DU!$B$5:$Z$174,22,0),0)</f>
        <v>18996</v>
      </c>
      <c r="W8" s="12">
        <f>IFERROR(VLOOKUP($D8,Total_DU!$B$5:$Z$174,23,0),0)</f>
        <v>19319</v>
      </c>
      <c r="X8" s="12">
        <f>IFERROR(VLOOKUP($D8,Total_DU!$B$5:$Z$174,24,0),0)</f>
        <v>19649</v>
      </c>
      <c r="Y8" s="12">
        <f>IFERROR(VLOOKUP($D8,Total_DU!$B$5:$Z$174,25,0),0)</f>
        <v>19946</v>
      </c>
      <c r="Z8" s="12">
        <f>IFERROR(VLOOKUP($D8,Population!$B$5:$Y$174,21,FALSE),0)</f>
        <v>38701.687814777062</v>
      </c>
      <c r="AA8" s="12">
        <f>IFERROR(VLOOKUP($D8,Population!$B$5:$Y$174,22,FALSE),0)</f>
        <v>39177.434921810091</v>
      </c>
      <c r="AB8" s="12">
        <f>IFERROR(VLOOKUP($D8,Population!$B$5:$Y$174,23,FALSE),0)</f>
        <v>39874.635999718826</v>
      </c>
      <c r="AC8" s="12">
        <f>IFERROR(VLOOKUP($D8,Population!$B$5:$Y$174,24,FALSE),0)</f>
        <v>40211</v>
      </c>
    </row>
    <row r="9" spans="1:29" ht="15" x14ac:dyDescent="0.25">
      <c r="A9" s="11" t="s">
        <v>50</v>
      </c>
      <c r="B9" s="11" t="s">
        <v>494</v>
      </c>
      <c r="C9" s="11" t="s">
        <v>12</v>
      </c>
      <c r="D9" s="11">
        <v>1512</v>
      </c>
      <c r="E9" s="11">
        <v>2022</v>
      </c>
      <c r="F9" s="12">
        <f>VLOOKUP($D9,'2022Data to Complete Appendix C'!$C$8:$Q$313,2,FALSE)</f>
        <v>6965</v>
      </c>
      <c r="G9" s="12">
        <f>VLOOKUP($D9,'2022Data to Complete Appendix C'!$C$8:$Q$313,3,FALSE)</f>
        <v>3365</v>
      </c>
      <c r="H9" s="12">
        <f>VLOOKUP($D9,'2022Data to Complete Appendix C'!$C$8:$Q$313,4,FALSE)</f>
        <v>298</v>
      </c>
      <c r="I9" s="12">
        <f>VLOOKUP($D9,'2022Data to Complete Appendix C'!$C$8:$Q$313,5,FALSE)</f>
        <v>4683</v>
      </c>
      <c r="J9" s="114">
        <f>VLOOKUP($D9,'2022Data to Complete Appendix C'!$C$8:$Q$313,6,FALSE)</f>
        <v>2.0698400000000001</v>
      </c>
      <c r="K9" s="114">
        <f>VLOOKUP($D9,'2022Data to Complete Appendix C'!$C$8:$Q$313,7,FALSE)</f>
        <v>1.95</v>
      </c>
      <c r="L9" s="114">
        <f>VLOOKUP($D9,'2022Data to Complete Appendix C'!$C$8:$Q$313,8,FALSE)</f>
        <v>1.2346699999999999</v>
      </c>
      <c r="M9" s="12">
        <f>VLOOKUP($D9,'2022Data to Complete Appendix C'!$C$8:$Q$313,9,FALSE)</f>
        <v>838.2</v>
      </c>
      <c r="N9" s="114">
        <f>VLOOKUP($D9,'2022Data to Complete Appendix C'!$C$8:$Q$313,10,FALSE)</f>
        <v>0.19941999999999999</v>
      </c>
      <c r="O9" s="115">
        <f>VLOOKUP($D9,'2022Data to Complete Appendix C'!$C$8:$Q$313,11,FALSE)</f>
        <v>0.442</v>
      </c>
      <c r="P9" s="115">
        <f>VLOOKUP($D9,'2022Data to Complete Appendix C'!$C$8:$Q$313,12,FALSE)</f>
        <v>0.70704999999999996</v>
      </c>
      <c r="Q9" s="115">
        <f>VLOOKUP($D9,'2022Data to Complete Appendix C'!$C$8:$Q$313,13,FALSE)</f>
        <v>0.64200000000000002</v>
      </c>
      <c r="R9" s="114">
        <f>VLOOKUP($D9,'2022Data to Complete Appendix C'!$C$8:$Q$313,14,FALSE)</f>
        <v>2.7</v>
      </c>
      <c r="S9" s="115">
        <f>VLOOKUP($D9,'2022Data to Complete Appendix C'!$C$8:$Q$313,15,FALSE)</f>
        <v>0.16928000000000001</v>
      </c>
      <c r="T9" s="12">
        <f>IFERROR(VLOOKUP($D9,'2022LodgingbyWUP'!$A$1:$D$98,4,FALSE),0)</f>
        <v>30</v>
      </c>
      <c r="U9" s="12">
        <f t="shared" si="0"/>
        <v>52.00200000000001</v>
      </c>
      <c r="V9" s="12">
        <f>IFERROR(VLOOKUP($D9,Total_DU!$B$5:$Z$174,22,0),0)</f>
        <v>2188</v>
      </c>
      <c r="W9" s="12">
        <f>IFERROR(VLOOKUP($D9,Total_DU!$B$5:$Z$174,23,0),0)</f>
        <v>2218</v>
      </c>
      <c r="X9" s="12">
        <f>IFERROR(VLOOKUP($D9,Total_DU!$B$5:$Z$174,24,0),0)</f>
        <v>2219</v>
      </c>
      <c r="Y9" s="12">
        <f>IFERROR(VLOOKUP($D9,Total_DU!$B$5:$Z$174,25,0),0)</f>
        <v>2231</v>
      </c>
      <c r="Z9" s="12">
        <f>IFERROR(VLOOKUP($D9,Population!$B$5:$Y$174,21,FALSE),0)</f>
        <v>4482.8190974594509</v>
      </c>
      <c r="AA9" s="12">
        <f>IFERROR(VLOOKUP($D9,Population!$B$5:$Y$174,22,FALSE),0)</f>
        <v>4559.0706540142537</v>
      </c>
      <c r="AB9" s="12">
        <f>IFERROR(VLOOKUP($D9,Population!$B$5:$Y$174,23,FALSE),0)</f>
        <v>4563.7174754602956</v>
      </c>
      <c r="AC9" s="12">
        <f>IFERROR(VLOOKUP($D9,Population!$B$5:$Y$174,24,FALSE),0)</f>
        <v>4576</v>
      </c>
    </row>
    <row r="10" spans="1:29" ht="15" x14ac:dyDescent="0.25">
      <c r="A10" s="2" t="s">
        <v>50</v>
      </c>
      <c r="B10" s="2" t="s">
        <v>495</v>
      </c>
      <c r="C10" s="2" t="s">
        <v>49</v>
      </c>
      <c r="D10" s="2">
        <v>3522</v>
      </c>
      <c r="E10" s="11">
        <v>2022</v>
      </c>
      <c r="F10" s="12">
        <f>VLOOKUP($D10,'2022Data to Complete Appendix C'!$C$8:$Q$313,2,FALSE)</f>
        <v>10534</v>
      </c>
      <c r="G10" s="12">
        <f>VLOOKUP($D10,'2022Data to Complete Appendix C'!$C$8:$Q$313,3,FALSE)</f>
        <v>4827</v>
      </c>
      <c r="H10" s="12">
        <f>VLOOKUP($D10,'2022Data to Complete Appendix C'!$C$8:$Q$313,4,FALSE)</f>
        <v>0</v>
      </c>
      <c r="I10" s="12">
        <f>VLOOKUP($D10,'2022Data to Complete Appendix C'!$C$8:$Q$313,5,FALSE)</f>
        <v>7118</v>
      </c>
      <c r="J10" s="114">
        <f>VLOOKUP($D10,'2022Data to Complete Appendix C'!$C$8:$Q$313,6,FALSE)</f>
        <v>2.1823100000000002</v>
      </c>
      <c r="K10" s="114">
        <f>VLOOKUP($D10,'2022Data to Complete Appendix C'!$C$8:$Q$313,7,FALSE)</f>
        <v>1.95</v>
      </c>
      <c r="L10" s="114">
        <f>VLOOKUP($D10,'2022Data to Complete Appendix C'!$C$8:$Q$313,8,FALSE)</f>
        <v>1.16557</v>
      </c>
      <c r="M10" s="12">
        <f>VLOOKUP($D10,'2022Data to Complete Appendix C'!$C$8:$Q$313,9,FALSE)</f>
        <v>894.40700000000004</v>
      </c>
      <c r="N10" s="114">
        <f>VLOOKUP($D10,'2022Data to Complete Appendix C'!$C$8:$Q$313,10,FALSE)</f>
        <v>0.15632599999999999</v>
      </c>
      <c r="O10" s="115">
        <f>VLOOKUP($D10,'2022Data to Complete Appendix C'!$C$8:$Q$313,11,FALSE)</f>
        <v>0.442</v>
      </c>
      <c r="P10" s="115">
        <f>VLOOKUP($D10,'2022Data to Complete Appendix C'!$C$8:$Q$313,12,FALSE)</f>
        <v>0.70704999999999996</v>
      </c>
      <c r="Q10" s="115">
        <f>VLOOKUP($D10,'2022Data to Complete Appendix C'!$C$8:$Q$313,13,FALSE)</f>
        <v>0.64200000000000002</v>
      </c>
      <c r="R10" s="114">
        <f>VLOOKUP($D10,'2022Data to Complete Appendix C'!$C$8:$Q$313,14,FALSE)</f>
        <v>2.7</v>
      </c>
      <c r="S10" s="115">
        <f>VLOOKUP($D10,'2022Data to Complete Appendix C'!$C$8:$Q$313,15,FALSE)</f>
        <v>-3.4660999999999997E-2</v>
      </c>
      <c r="T10" s="12">
        <f>IFERROR(VLOOKUP($D10,'2022LodgingbyWUP'!$A$1:$D$98,4,FALSE),0)</f>
        <v>31</v>
      </c>
      <c r="U10" s="12">
        <f t="shared" si="0"/>
        <v>53.735400000000006</v>
      </c>
      <c r="V10" s="12">
        <f>IFERROR(VLOOKUP($D10,Total_DU!$B$5:$Z$174,22,0),0)</f>
        <v>3389</v>
      </c>
      <c r="W10" s="12">
        <f>IFERROR(VLOOKUP($D10,Total_DU!$B$5:$Z$174,23,0),0)</f>
        <v>3473</v>
      </c>
      <c r="X10" s="12">
        <f>IFERROR(VLOOKUP($D10,Total_DU!$B$5:$Z$174,24,0),0)</f>
        <v>3349</v>
      </c>
      <c r="Y10" s="12">
        <f>IFERROR(VLOOKUP($D10,Total_DU!$B$5:$Z$174,25,0),0)</f>
        <v>3573</v>
      </c>
      <c r="Z10" s="12">
        <f>IFERROR(VLOOKUP($D10,Population!$B$5:$Y$174,21,FALSE),0)</f>
        <v>7017.0118396035014</v>
      </c>
      <c r="AA10" s="12">
        <f>IFERROR(VLOOKUP($D10,Population!$B$5:$Y$174,22,FALSE),0)</f>
        <v>7186.1919714080304</v>
      </c>
      <c r="AB10" s="12">
        <f>IFERROR(VLOOKUP($D10,Population!$B$5:$Y$174,23,FALSE),0)</f>
        <v>6940.5756350687543</v>
      </c>
      <c r="AC10" s="12">
        <f>IFERROR(VLOOKUP($D10,Population!$B$5:$Y$174,24,FALSE),0)</f>
        <v>7383</v>
      </c>
    </row>
    <row r="11" spans="1:29" ht="15" x14ac:dyDescent="0.25">
      <c r="A11" s="11" t="s">
        <v>50</v>
      </c>
      <c r="B11" s="11" t="s">
        <v>496</v>
      </c>
      <c r="C11" s="11" t="s">
        <v>49</v>
      </c>
      <c r="D11" s="11">
        <v>7104</v>
      </c>
      <c r="E11" s="11">
        <v>2022</v>
      </c>
      <c r="F11" s="12">
        <f>VLOOKUP($D11,'2022Data to Complete Appendix C'!$C$8:$Q$313,2,FALSE)</f>
        <v>110839</v>
      </c>
      <c r="G11" s="12">
        <f>VLOOKUP($D11,'2022Data to Complete Appendix C'!$C$8:$Q$313,3,FALSE)</f>
        <v>50309</v>
      </c>
      <c r="H11" s="12">
        <f>VLOOKUP($D11,'2022Data to Complete Appendix C'!$C$8:$Q$313,4,FALSE)</f>
        <v>1158</v>
      </c>
      <c r="I11" s="12">
        <f>VLOOKUP($D11,'2022Data to Complete Appendix C'!$C$8:$Q$313,5,FALSE)</f>
        <v>66267</v>
      </c>
      <c r="J11" s="114">
        <f>VLOOKUP($D11,'2022Data to Complete Appendix C'!$C$8:$Q$313,6,FALSE)</f>
        <v>2.20316</v>
      </c>
      <c r="K11" s="114">
        <f>VLOOKUP($D11,'2022Data to Complete Appendix C'!$C$8:$Q$313,7,FALSE)</f>
        <v>1.95</v>
      </c>
      <c r="L11" s="114">
        <f>VLOOKUP($D11,'2022Data to Complete Appendix C'!$C$8:$Q$313,8,FALSE)</f>
        <v>1.16028</v>
      </c>
      <c r="M11" s="12">
        <f>VLOOKUP($D11,'2022Data to Complete Appendix C'!$C$8:$Q$313,9,FALSE)</f>
        <v>9110.6200000000008</v>
      </c>
      <c r="N11" s="114">
        <f>VLOOKUP($D11,'2022Data to Complete Appendix C'!$C$8:$Q$313,10,FALSE)</f>
        <v>0.15332699999999999</v>
      </c>
      <c r="O11" s="115">
        <f>VLOOKUP($D11,'2022Data to Complete Appendix C'!$C$8:$Q$313,11,FALSE)</f>
        <v>0.442</v>
      </c>
      <c r="P11" s="115">
        <f>VLOOKUP($D11,'2022Data to Complete Appendix C'!$C$8:$Q$313,12,FALSE)</f>
        <v>0.70704999999999996</v>
      </c>
      <c r="Q11" s="115">
        <f>VLOOKUP($D11,'2022Data to Complete Appendix C'!$C$8:$Q$313,13,FALSE)</f>
        <v>0.64200000000000002</v>
      </c>
      <c r="R11" s="114">
        <f>VLOOKUP($D11,'2022Data to Complete Appendix C'!$C$8:$Q$313,14,FALSE)</f>
        <v>2.7</v>
      </c>
      <c r="S11" s="115">
        <f>VLOOKUP($D11,'2022Data to Complete Appendix C'!$C$8:$Q$313,15,FALSE)</f>
        <v>-0.15393899999999999</v>
      </c>
      <c r="T11" s="12">
        <f>IFERROR(VLOOKUP($D11,'2022LodgingbyWUP'!$A$1:$D$98,4,FALSE),0)</f>
        <v>1568</v>
      </c>
      <c r="U11" s="12">
        <f t="shared" si="0"/>
        <v>2717.9712000000004</v>
      </c>
      <c r="V11" s="12">
        <f>IFERROR(VLOOKUP($D11,Total_DU!$B$5:$Z$174,22,0),0)</f>
        <v>61920</v>
      </c>
      <c r="W11" s="12">
        <f>IFERROR(VLOOKUP($D11,Total_DU!$B$5:$Z$174,23,0),0)</f>
        <v>56423</v>
      </c>
      <c r="X11" s="12">
        <f>IFERROR(VLOOKUP($D11,Total_DU!$B$5:$Z$174,24,0),0)</f>
        <v>64435</v>
      </c>
      <c r="Y11" s="12">
        <f>IFERROR(VLOOKUP($D11,Total_DU!$B$5:$Z$174,25,0),0)</f>
        <v>66340</v>
      </c>
      <c r="Z11" s="12">
        <f>IFERROR(VLOOKUP($D11,Population!$B$5:$Y$174,21,FALSE),0)</f>
        <v>132185.27747996451</v>
      </c>
      <c r="AA11" s="12">
        <f>IFERROR(VLOOKUP($D11,Population!$B$5:$Y$174,22,FALSE),0)</f>
        <v>134412</v>
      </c>
      <c r="AB11" s="12">
        <f>IFERROR(VLOOKUP($D11,Population!$B$5:$Y$174,23,FALSE),0)</f>
        <v>137800</v>
      </c>
      <c r="AC11" s="12">
        <f>IFERROR(VLOOKUP($D11,Population!$B$5:$Y$174,24,FALSE),0)</f>
        <v>141173</v>
      </c>
    </row>
    <row r="12" spans="1:29" ht="15" x14ac:dyDescent="0.25">
      <c r="A12" s="2" t="s">
        <v>50</v>
      </c>
      <c r="B12" s="2" t="s">
        <v>497</v>
      </c>
      <c r="C12" s="2" t="s">
        <v>116</v>
      </c>
      <c r="D12" s="2">
        <v>7768</v>
      </c>
      <c r="E12" s="11">
        <v>2022</v>
      </c>
      <c r="F12" s="12">
        <f>VLOOKUP($D12,'2022Data to Complete Appendix C'!$C$8:$Q$313,2,FALSE)</f>
        <v>223</v>
      </c>
      <c r="G12" s="12">
        <f>VLOOKUP($D12,'2022Data to Complete Appendix C'!$C$8:$Q$313,3,FALSE)</f>
        <v>108</v>
      </c>
      <c r="H12" s="12">
        <f>VLOOKUP($D12,'2022Data to Complete Appendix C'!$C$8:$Q$313,4,FALSE)</f>
        <v>0</v>
      </c>
      <c r="I12" s="12">
        <f>VLOOKUP($D12,'2022Data to Complete Appendix C'!$C$8:$Q$313,5,FALSE)</f>
        <v>398</v>
      </c>
      <c r="J12" s="114">
        <f>VLOOKUP($D12,'2022Data to Complete Appendix C'!$C$8:$Q$313,6,FALSE)</f>
        <v>2.06481</v>
      </c>
      <c r="K12" s="114">
        <f>VLOOKUP($D12,'2022Data to Complete Appendix C'!$C$8:$Q$313,7,FALSE)</f>
        <v>1.95</v>
      </c>
      <c r="L12" s="114">
        <f>VLOOKUP($D12,'2022Data to Complete Appendix C'!$C$8:$Q$313,8,FALSE)</f>
        <v>1.19702</v>
      </c>
      <c r="M12" s="12">
        <f>VLOOKUP($D12,'2022Data to Complete Appendix C'!$C$8:$Q$313,9,FALSE)</f>
        <v>22.530999999999999</v>
      </c>
      <c r="N12" s="114">
        <f>VLOOKUP($D12,'2022Data to Complete Appendix C'!$C$8:$Q$313,10,FALSE)</f>
        <v>0.17261000000000001</v>
      </c>
      <c r="O12" s="115">
        <f>VLOOKUP($D12,'2022Data to Complete Appendix C'!$C$8:$Q$313,11,FALSE)</f>
        <v>0.442</v>
      </c>
      <c r="P12" s="115">
        <f>VLOOKUP($D12,'2022Data to Complete Appendix C'!$C$8:$Q$313,12,FALSE)</f>
        <v>0.70704999999999996</v>
      </c>
      <c r="Q12" s="115">
        <f>VLOOKUP($D12,'2022Data to Complete Appendix C'!$C$8:$Q$313,13,FALSE)</f>
        <v>0.64200000000000002</v>
      </c>
      <c r="R12" s="114">
        <f>VLOOKUP($D12,'2022Data to Complete Appendix C'!$C$8:$Q$313,14,FALSE)</f>
        <v>2.7</v>
      </c>
      <c r="S12" s="115">
        <f>VLOOKUP($D12,'2022Data to Complete Appendix C'!$C$8:$Q$313,15,FALSE)</f>
        <v>1.7223599999999999E-2</v>
      </c>
      <c r="T12" s="12">
        <f>IFERROR(VLOOKUP($D12,'2022LodgingbyWUP'!$A$1:$D$98,4,FALSE),0)</f>
        <v>0</v>
      </c>
      <c r="U12" s="12">
        <f t="shared" si="0"/>
        <v>0</v>
      </c>
      <c r="V12" s="12" t="str">
        <f>IFERROR(VLOOKUP($D12,Total_DU!$B$5:$Z$174,22,0),0)</f>
        <v>NA</v>
      </c>
      <c r="W12" s="12" t="str">
        <f>IFERROR(VLOOKUP($D12,Total_DU!$B$5:$Z$174,23,0),0)</f>
        <v>NA</v>
      </c>
      <c r="X12" s="12">
        <f>IFERROR(VLOOKUP($D12,Total_DU!$B$5:$Z$174,24,0),0)</f>
        <v>0</v>
      </c>
      <c r="Y12" s="12" t="str">
        <f>IFERROR(VLOOKUP($D12,Total_DU!$B$5:$Z$174,25,0),0)</f>
        <v>NA</v>
      </c>
      <c r="Z12" s="12" t="str">
        <f>IFERROR(VLOOKUP($D12,Population!$B$5:$Y$174,21,FALSE),0)</f>
        <v>NA</v>
      </c>
      <c r="AA12" s="12" t="str">
        <f>IFERROR(VLOOKUP($D12,Population!$B$5:$Y$174,22,FALSE),0)</f>
        <v>NA</v>
      </c>
      <c r="AB12" s="12" t="str">
        <f>IFERROR(VLOOKUP($D12,Population!$B$5:$Y$174,23,FALSE),0)</f>
        <v>NA</v>
      </c>
      <c r="AC12" s="12" t="str">
        <f>IFERROR(VLOOKUP($D12,Population!$B$5:$Y$174,24,FALSE),0)</f>
        <v>NA</v>
      </c>
    </row>
    <row r="13" spans="1:29" ht="15" x14ac:dyDescent="0.25">
      <c r="A13" s="11" t="s">
        <v>50</v>
      </c>
      <c r="B13" s="11" t="s">
        <v>498</v>
      </c>
      <c r="C13" s="11" t="s">
        <v>114</v>
      </c>
      <c r="D13" s="11">
        <v>8626</v>
      </c>
      <c r="E13" s="11">
        <v>2022</v>
      </c>
      <c r="F13" s="12">
        <f>VLOOKUP($D13,'2022Data to Complete Appendix C'!$C$8:$Q$313,2,FALSE)</f>
        <v>581</v>
      </c>
      <c r="G13" s="12">
        <f>VLOOKUP($D13,'2022Data to Complete Appendix C'!$C$8:$Q$313,3,FALSE)</f>
        <v>331</v>
      </c>
      <c r="H13" s="12">
        <f>VLOOKUP($D13,'2022Data to Complete Appendix C'!$C$8:$Q$313,4,FALSE)</f>
        <v>0</v>
      </c>
      <c r="I13" s="12">
        <f>VLOOKUP($D13,'2022Data to Complete Appendix C'!$C$8:$Q$313,5,FALSE)</f>
        <v>434</v>
      </c>
      <c r="J13" s="114">
        <f>VLOOKUP($D13,'2022Data to Complete Appendix C'!$C$8:$Q$313,6,FALSE)</f>
        <v>1.75529</v>
      </c>
      <c r="K13" s="114">
        <f>VLOOKUP($D13,'2022Data to Complete Appendix C'!$C$8:$Q$313,7,FALSE)</f>
        <v>1.95</v>
      </c>
      <c r="L13" s="114">
        <f>VLOOKUP($D13,'2022Data to Complete Appendix C'!$C$8:$Q$313,8,FALSE)</f>
        <v>1.25789</v>
      </c>
      <c r="M13" s="12">
        <f>VLOOKUP($D13,'2022Data to Complete Appendix C'!$C$8:$Q$313,9,FALSE)</f>
        <v>76.837100000000007</v>
      </c>
      <c r="N13" s="114">
        <f>VLOOKUP($D13,'2022Data to Complete Appendix C'!$C$8:$Q$313,10,FALSE)</f>
        <v>0.18840100000000001</v>
      </c>
      <c r="O13" s="115">
        <f>VLOOKUP($D13,'2022Data to Complete Appendix C'!$C$8:$Q$313,11,FALSE)</f>
        <v>0.442</v>
      </c>
      <c r="P13" s="115">
        <f>VLOOKUP($D13,'2022Data to Complete Appendix C'!$C$8:$Q$313,12,FALSE)</f>
        <v>0.70704999999999996</v>
      </c>
      <c r="Q13" s="115">
        <f>VLOOKUP($D13,'2022Data to Complete Appendix C'!$C$8:$Q$313,13,FALSE)</f>
        <v>0.64200000000000002</v>
      </c>
      <c r="R13" s="114">
        <f>VLOOKUP($D13,'2022Data to Complete Appendix C'!$C$8:$Q$313,14,FALSE)</f>
        <v>2.7</v>
      </c>
      <c r="S13" s="115">
        <f>VLOOKUP($D13,'2022Data to Complete Appendix C'!$C$8:$Q$313,15,FALSE)</f>
        <v>0.487705</v>
      </c>
      <c r="T13" s="12">
        <f>IFERROR(VLOOKUP($D13,'2022LodgingbyWUP'!$A$1:$D$98,4,FALSE),0)</f>
        <v>0</v>
      </c>
      <c r="U13" s="12">
        <f t="shared" si="0"/>
        <v>0</v>
      </c>
      <c r="V13" s="12">
        <f>IFERROR(VLOOKUP($D13,Total_DU!$B$5:$Z$174,22,0),0)</f>
        <v>0</v>
      </c>
      <c r="W13" s="12">
        <f>IFERROR(VLOOKUP($D13,Total_DU!$B$5:$Z$174,23,0),0)</f>
        <v>0</v>
      </c>
      <c r="X13" s="12">
        <f>IFERROR(VLOOKUP($D13,Total_DU!$B$5:$Z$174,24,0),0)</f>
        <v>0</v>
      </c>
      <c r="Y13" s="12">
        <f>IFERROR(VLOOKUP($D13,Total_DU!$B$5:$Z$174,25,0),0)</f>
        <v>0</v>
      </c>
      <c r="Z13" s="12">
        <f>IFERROR(VLOOKUP($D13,Population!$B$5:$Y$174,21,FALSE),0)</f>
        <v>0</v>
      </c>
      <c r="AA13" s="12">
        <f>IFERROR(VLOOKUP($D13,Population!$B$5:$Y$174,22,FALSE),0)</f>
        <v>0</v>
      </c>
      <c r="AB13" s="12">
        <f>IFERROR(VLOOKUP($D13,Population!$B$5:$Y$174,23,FALSE),0)</f>
        <v>0</v>
      </c>
      <c r="AC13" s="12">
        <f>IFERROR(VLOOKUP($D13,Population!$B$5:$Y$174,24,FALSE),0)</f>
        <v>0</v>
      </c>
    </row>
    <row r="14" spans="1:29" ht="15" x14ac:dyDescent="0.25">
      <c r="A14" s="2" t="s">
        <v>50</v>
      </c>
      <c r="B14" s="2" t="s">
        <v>499</v>
      </c>
      <c r="C14" s="2" t="s">
        <v>103</v>
      </c>
      <c r="D14" s="2">
        <v>99913</v>
      </c>
      <c r="E14" s="11">
        <v>2022</v>
      </c>
      <c r="F14" s="12">
        <f>VLOOKUP($D14,'2022Data to Complete Appendix C'!$C$8:$Q$313,2,FALSE)</f>
        <v>1007</v>
      </c>
      <c r="G14" s="12">
        <f>VLOOKUP($D14,'2022Data to Complete Appendix C'!$C$8:$Q$313,3,FALSE)</f>
        <v>543</v>
      </c>
      <c r="H14" s="12">
        <f>VLOOKUP($D14,'2022Data to Complete Appendix C'!$C$8:$Q$313,4,FALSE)</f>
        <v>0</v>
      </c>
      <c r="I14" s="12">
        <f>VLOOKUP($D14,'2022Data to Complete Appendix C'!$C$8:$Q$313,5,FALSE)</f>
        <v>897</v>
      </c>
      <c r="J14" s="114">
        <f>VLOOKUP($D14,'2022Data to Complete Appendix C'!$C$8:$Q$313,6,FALSE)</f>
        <v>1.8545100000000001</v>
      </c>
      <c r="K14" s="114">
        <f>VLOOKUP($D14,'2022Data to Complete Appendix C'!$C$8:$Q$313,7,FALSE)</f>
        <v>1.95</v>
      </c>
      <c r="L14" s="114">
        <f>VLOOKUP($D14,'2022Data to Complete Appendix C'!$C$8:$Q$313,8,FALSE)</f>
        <v>1.22475</v>
      </c>
      <c r="M14" s="12">
        <f>VLOOKUP($D14,'2022Data to Complete Appendix C'!$C$8:$Q$313,9,FALSE)</f>
        <v>116.06100000000001</v>
      </c>
      <c r="N14" s="114">
        <f>VLOOKUP($D14,'2022Data to Complete Appendix C'!$C$8:$Q$313,10,FALSE)</f>
        <v>0.17610100000000001</v>
      </c>
      <c r="O14" s="115">
        <f>VLOOKUP($D14,'2022Data to Complete Appendix C'!$C$8:$Q$313,11,FALSE)</f>
        <v>0.442</v>
      </c>
      <c r="P14" s="115">
        <f>VLOOKUP($D14,'2022Data to Complete Appendix C'!$C$8:$Q$313,12,FALSE)</f>
        <v>0.70704999999999996</v>
      </c>
      <c r="Q14" s="115">
        <f>VLOOKUP($D14,'2022Data to Complete Appendix C'!$C$8:$Q$313,13,FALSE)</f>
        <v>0.64200000000000002</v>
      </c>
      <c r="R14" s="114">
        <f>VLOOKUP($D14,'2022Data to Complete Appendix C'!$C$8:$Q$313,14,FALSE)</f>
        <v>2.7</v>
      </c>
      <c r="S14" s="115">
        <f>VLOOKUP($D14,'2022Data to Complete Appendix C'!$C$8:$Q$313,15,FALSE)</f>
        <v>-9.0983400000000006E-2</v>
      </c>
      <c r="T14" s="12">
        <f>IFERROR(VLOOKUP($D14,'2022LodgingbyWUP'!$A$1:$D$98,4,FALSE),0)</f>
        <v>2</v>
      </c>
      <c r="U14" s="12">
        <f t="shared" si="0"/>
        <v>3.4668000000000001</v>
      </c>
      <c r="V14" s="12">
        <f>IFERROR(VLOOKUP($D14,Total_DU!$B$5:$Z$174,22,0),0)</f>
        <v>0</v>
      </c>
      <c r="W14" s="12">
        <f>IFERROR(VLOOKUP($D14,Total_DU!$B$5:$Z$174,23,0),0)</f>
        <v>0</v>
      </c>
      <c r="X14" s="12">
        <f>IFERROR(VLOOKUP($D14,Total_DU!$B$5:$Z$174,24,0),0)</f>
        <v>0</v>
      </c>
      <c r="Y14" s="12">
        <f>IFERROR(VLOOKUP($D14,Total_DU!$B$5:$Z$174,25,0),0)</f>
        <v>0</v>
      </c>
      <c r="Z14" s="12">
        <f>IFERROR(VLOOKUP($D14,Population!$B$5:$Y$174,21,FALSE),0)</f>
        <v>0</v>
      </c>
      <c r="AA14" s="12">
        <f>IFERROR(VLOOKUP($D14,Population!$B$5:$Y$174,22,FALSE),0)</f>
        <v>0</v>
      </c>
      <c r="AB14" s="12">
        <f>IFERROR(VLOOKUP($D14,Population!$B$5:$Y$174,23,FALSE),0)</f>
        <v>0</v>
      </c>
      <c r="AC14" s="12">
        <f>IFERROR(VLOOKUP($D14,Population!$B$5:$Y$174,24,FALSE),0)</f>
        <v>0</v>
      </c>
    </row>
    <row r="15" spans="1:29" ht="15" x14ac:dyDescent="0.25">
      <c r="A15" s="11" t="s">
        <v>50</v>
      </c>
      <c r="B15" s="11" t="s">
        <v>500</v>
      </c>
      <c r="C15" s="11" t="s">
        <v>6</v>
      </c>
      <c r="D15" s="11">
        <v>99916</v>
      </c>
      <c r="E15" s="11">
        <v>2022</v>
      </c>
      <c r="F15" s="12">
        <f>VLOOKUP($D15,'2022Data to Complete Appendix C'!$C$8:$Q$313,2,FALSE)</f>
        <v>1580</v>
      </c>
      <c r="G15" s="12">
        <f>VLOOKUP($D15,'2022Data to Complete Appendix C'!$C$8:$Q$313,3,FALSE)</f>
        <v>832</v>
      </c>
      <c r="H15" s="12">
        <f>VLOOKUP($D15,'2022Data to Complete Appendix C'!$C$8:$Q$313,4,FALSE)</f>
        <v>0</v>
      </c>
      <c r="I15" s="12">
        <f>VLOOKUP($D15,'2022Data to Complete Appendix C'!$C$8:$Q$313,5,FALSE)</f>
        <v>1265</v>
      </c>
      <c r="J15" s="114">
        <f>VLOOKUP($D15,'2022Data to Complete Appendix C'!$C$8:$Q$313,6,FALSE)</f>
        <v>1.8990400000000001</v>
      </c>
      <c r="K15" s="114">
        <f>VLOOKUP($D15,'2022Data to Complete Appendix C'!$C$8:$Q$313,7,FALSE)</f>
        <v>1.95</v>
      </c>
      <c r="L15" s="114">
        <f>VLOOKUP($D15,'2022Data to Complete Appendix C'!$C$8:$Q$313,8,FALSE)</f>
        <v>1.22475</v>
      </c>
      <c r="M15" s="12">
        <f>VLOOKUP($D15,'2022Data to Complete Appendix C'!$C$8:$Q$313,9,FALSE)</f>
        <v>182.102</v>
      </c>
      <c r="N15" s="114">
        <f>VLOOKUP($D15,'2022Data to Complete Appendix C'!$C$8:$Q$313,10,FALSE)</f>
        <v>0.17957000000000001</v>
      </c>
      <c r="O15" s="115">
        <f>VLOOKUP($D15,'2022Data to Complete Appendix C'!$C$8:$Q$313,11,FALSE)</f>
        <v>0.442</v>
      </c>
      <c r="P15" s="115">
        <f>VLOOKUP($D15,'2022Data to Complete Appendix C'!$C$8:$Q$313,12,FALSE)</f>
        <v>0.70704999999999996</v>
      </c>
      <c r="Q15" s="115">
        <f>VLOOKUP($D15,'2022Data to Complete Appendix C'!$C$8:$Q$313,13,FALSE)</f>
        <v>0.64200000000000002</v>
      </c>
      <c r="R15" s="114">
        <f>VLOOKUP($D15,'2022Data to Complete Appendix C'!$C$8:$Q$313,14,FALSE)</f>
        <v>2.7</v>
      </c>
      <c r="S15" s="115">
        <f>VLOOKUP($D15,'2022Data to Complete Appendix C'!$C$8:$Q$313,15,FALSE)</f>
        <v>-9.0983400000000006E-2</v>
      </c>
      <c r="T15" s="12">
        <f>IFERROR(VLOOKUP($D15,'2022LodgingbyWUP'!$A$1:$D$98,4,FALSE),0)</f>
        <v>6</v>
      </c>
      <c r="U15" s="12">
        <f t="shared" si="0"/>
        <v>10.400400000000001</v>
      </c>
      <c r="V15" s="12">
        <f>IFERROR(VLOOKUP($D15,Total_DU!$B$5:$Z$174,22,0),0)</f>
        <v>0</v>
      </c>
      <c r="W15" s="12">
        <f>IFERROR(VLOOKUP($D15,Total_DU!$B$5:$Z$174,23,0),0)</f>
        <v>0</v>
      </c>
      <c r="X15" s="12">
        <f>IFERROR(VLOOKUP($D15,Total_DU!$B$5:$Z$174,24,0),0)</f>
        <v>0</v>
      </c>
      <c r="Y15" s="12">
        <f>IFERROR(VLOOKUP($D15,Total_DU!$B$5:$Z$174,25,0),0)</f>
        <v>0</v>
      </c>
      <c r="Z15" s="12">
        <f>IFERROR(VLOOKUP($D15,Population!$B$5:$Y$174,21,FALSE),0)</f>
        <v>0</v>
      </c>
      <c r="AA15" s="12">
        <f>IFERROR(VLOOKUP($D15,Population!$B$5:$Y$174,22,FALSE),0)</f>
        <v>0</v>
      </c>
      <c r="AB15" s="12">
        <f>IFERROR(VLOOKUP($D15,Population!$B$5:$Y$174,23,FALSE),0)</f>
        <v>0</v>
      </c>
      <c r="AC15" s="12">
        <f>IFERROR(VLOOKUP($D15,Population!$B$5:$Y$174,24,FALSE),0)</f>
        <v>0</v>
      </c>
    </row>
    <row r="16" spans="1:29" ht="15" x14ac:dyDescent="0.25">
      <c r="A16" s="2" t="s">
        <v>24</v>
      </c>
      <c r="B16" s="2" t="s">
        <v>501</v>
      </c>
      <c r="C16" s="2" t="s">
        <v>64</v>
      </c>
      <c r="D16" s="2">
        <v>207</v>
      </c>
      <c r="E16" s="11">
        <v>2022</v>
      </c>
      <c r="F16" s="12">
        <f>VLOOKUP($D16,'2022Data to Complete Appendix C'!$C$8:$Q$313,2,FALSE)</f>
        <v>4386</v>
      </c>
      <c r="G16" s="12">
        <f>VLOOKUP($D16,'2022Data to Complete Appendix C'!$C$8:$Q$313,3,FALSE)</f>
        <v>2106</v>
      </c>
      <c r="H16" s="12">
        <f>VLOOKUP($D16,'2022Data to Complete Appendix C'!$C$8:$Q$313,4,FALSE)</f>
        <v>219</v>
      </c>
      <c r="I16" s="12">
        <f>VLOOKUP($D16,'2022Data to Complete Appendix C'!$C$8:$Q$313,5,FALSE)</f>
        <v>2922</v>
      </c>
      <c r="J16" s="114">
        <f>VLOOKUP($D16,'2022Data to Complete Appendix C'!$C$8:$Q$313,6,FALSE)</f>
        <v>2.0826199999999999</v>
      </c>
      <c r="K16" s="114">
        <f>VLOOKUP($D16,'2022Data to Complete Appendix C'!$C$8:$Q$313,7,FALSE)</f>
        <v>1.95</v>
      </c>
      <c r="L16" s="114">
        <f>VLOOKUP($D16,'2022Data to Complete Appendix C'!$C$8:$Q$313,8,FALSE)</f>
        <v>1.08955</v>
      </c>
      <c r="M16" s="12">
        <f>VLOOKUP($D16,'2022Data to Complete Appendix C'!$C$8:$Q$313,9,FALSE)</f>
        <v>201.42500000000001</v>
      </c>
      <c r="N16" s="114">
        <f>VLOOKUP($D16,'2022Data to Complete Appendix C'!$C$8:$Q$313,10,FALSE)</f>
        <v>8.7294399999999994E-2</v>
      </c>
      <c r="O16" s="115">
        <f>VLOOKUP($D16,'2022Data to Complete Appendix C'!$C$8:$Q$313,11,FALSE)</f>
        <v>0.56699999999999995</v>
      </c>
      <c r="P16" s="115">
        <f>VLOOKUP($D16,'2022Data to Complete Appendix C'!$C$8:$Q$313,12,FALSE)</f>
        <v>0.772675</v>
      </c>
      <c r="Q16" s="115">
        <f>VLOOKUP($D16,'2022Data to Complete Appendix C'!$C$8:$Q$313,13,FALSE)</f>
        <v>0.622</v>
      </c>
      <c r="R16" s="114">
        <f>VLOOKUP($D16,'2022Data to Complete Appendix C'!$C$8:$Q$313,14,FALSE)</f>
        <v>2.2999999999999998</v>
      </c>
      <c r="S16" s="115">
        <f>VLOOKUP($D16,'2022Data to Complete Appendix C'!$C$8:$Q$313,15,FALSE)</f>
        <v>0.51644500000000004</v>
      </c>
      <c r="T16" s="12">
        <f>IFERROR(VLOOKUP($D16,'2022LodgingbyWUP'!$A$1:$D$98,4,FALSE),0)</f>
        <v>406</v>
      </c>
      <c r="U16" s="12">
        <f t="shared" si="0"/>
        <v>580.82359999999994</v>
      </c>
      <c r="V16" s="12">
        <f>IFERROR(VLOOKUP($D16,Total_DU!$B$5:$Z$174,22,0),0)</f>
        <v>2308</v>
      </c>
      <c r="W16" s="12">
        <f>IFERROR(VLOOKUP($D16,Total_DU!$B$5:$Z$174,23,0),0)</f>
        <v>2325</v>
      </c>
      <c r="X16" s="12">
        <f>IFERROR(VLOOKUP($D16,Total_DU!$B$5:$Z$174,24,0),0)</f>
        <v>2298</v>
      </c>
      <c r="Y16" s="12">
        <f>IFERROR(VLOOKUP($D16,Total_DU!$B$5:$Z$174,25,0),0)</f>
        <v>2338</v>
      </c>
      <c r="Z16" s="12">
        <f>IFERROR(VLOOKUP($D16,Population!$B$5:$Y$174,21,FALSE),0)</f>
        <v>5726.0249388620505</v>
      </c>
      <c r="AA16" s="12">
        <f>IFERROR(VLOOKUP($D16,Population!$B$5:$Y$174,22,FALSE),0)</f>
        <v>5781.395389984109</v>
      </c>
      <c r="AB16" s="12">
        <f>IFERROR(VLOOKUP($D16,Population!$B$5:$Y$174,23,FALSE),0)</f>
        <v>5683.558269855057</v>
      </c>
      <c r="AC16" s="12">
        <f>IFERROR(VLOOKUP($D16,Population!$B$5:$Y$174,24,FALSE),0)</f>
        <v>5698</v>
      </c>
    </row>
    <row r="17" spans="1:29" ht="15" x14ac:dyDescent="0.25">
      <c r="A17" s="11" t="s">
        <v>24</v>
      </c>
      <c r="B17" s="11" t="s">
        <v>502</v>
      </c>
      <c r="C17" s="11" t="s">
        <v>25</v>
      </c>
      <c r="D17" s="11">
        <v>419</v>
      </c>
      <c r="E17" s="11">
        <v>2022</v>
      </c>
      <c r="F17" s="12">
        <f>VLOOKUP($D17,'2022Data to Complete Appendix C'!$C$8:$Q$313,2,FALSE)</f>
        <v>24128</v>
      </c>
      <c r="G17" s="12">
        <f>VLOOKUP($D17,'2022Data to Complete Appendix C'!$C$8:$Q$313,3,FALSE)</f>
        <v>11119</v>
      </c>
      <c r="H17" s="12">
        <f>VLOOKUP($D17,'2022Data to Complete Appendix C'!$C$8:$Q$313,4,FALSE)</f>
        <v>564</v>
      </c>
      <c r="I17" s="12">
        <f>VLOOKUP($D17,'2022Data to Complete Appendix C'!$C$8:$Q$313,5,FALSE)</f>
        <v>13382</v>
      </c>
      <c r="J17" s="114">
        <f>VLOOKUP($D17,'2022Data to Complete Appendix C'!$C$8:$Q$313,6,FALSE)</f>
        <v>2.1699799999999998</v>
      </c>
      <c r="K17" s="114">
        <f>VLOOKUP($D17,'2022Data to Complete Appendix C'!$C$8:$Q$313,7,FALSE)</f>
        <v>1.95</v>
      </c>
      <c r="L17" s="114">
        <f>VLOOKUP($D17,'2022Data to Complete Appendix C'!$C$8:$Q$313,8,FALSE)</f>
        <v>1.0860399999999999</v>
      </c>
      <c r="M17" s="12">
        <f>VLOOKUP($D17,'2022Data to Complete Appendix C'!$C$8:$Q$313,9,FALSE)</f>
        <v>1064.5999999999999</v>
      </c>
      <c r="N17" s="114">
        <f>VLOOKUP($D17,'2022Data to Complete Appendix C'!$C$8:$Q$313,10,FALSE)</f>
        <v>8.7379899999999996E-2</v>
      </c>
      <c r="O17" s="115">
        <f>VLOOKUP($D17,'2022Data to Complete Appendix C'!$C$8:$Q$313,11,FALSE)</f>
        <v>0.56699999999999995</v>
      </c>
      <c r="P17" s="115">
        <f>VLOOKUP($D17,'2022Data to Complete Appendix C'!$C$8:$Q$313,12,FALSE)</f>
        <v>0.772675</v>
      </c>
      <c r="Q17" s="115">
        <f>VLOOKUP($D17,'2022Data to Complete Appendix C'!$C$8:$Q$313,13,FALSE)</f>
        <v>0.622</v>
      </c>
      <c r="R17" s="114">
        <f>VLOOKUP($D17,'2022Data to Complete Appendix C'!$C$8:$Q$313,14,FALSE)</f>
        <v>2.2999999999999998</v>
      </c>
      <c r="S17" s="115">
        <f>VLOOKUP($D17,'2022Data to Complete Appendix C'!$C$8:$Q$313,15,FALSE)</f>
        <v>7.2375200000000001E-2</v>
      </c>
      <c r="T17" s="12">
        <f>IFERROR(VLOOKUP($D17,'2022LodgingbyWUP'!$A$1:$D$98,4,FALSE),0)</f>
        <v>75</v>
      </c>
      <c r="U17" s="12">
        <f t="shared" si="0"/>
        <v>107.29499999999999</v>
      </c>
      <c r="V17" s="12">
        <f>IFERROR(VLOOKUP($D17,Total_DU!$B$5:$Z$174,22,0),0)</f>
        <v>4410</v>
      </c>
      <c r="W17" s="12">
        <f>IFERROR(VLOOKUP($D17,Total_DU!$B$5:$Z$174,23,0),0)</f>
        <v>4772</v>
      </c>
      <c r="X17" s="12">
        <f>IFERROR(VLOOKUP($D17,Total_DU!$B$5:$Z$174,24,0),0)</f>
        <v>4175</v>
      </c>
      <c r="Y17" s="12">
        <f>IFERROR(VLOOKUP($D17,Total_DU!$B$5:$Z$174,25,0),0)</f>
        <v>4175</v>
      </c>
      <c r="Z17" s="12">
        <f>IFERROR(VLOOKUP($D17,Population!$B$5:$Y$174,21,FALSE),0)</f>
        <v>9709.7589477763067</v>
      </c>
      <c r="AA17" s="12">
        <f>IFERROR(VLOOKUP($D17,Population!$B$5:$Y$174,22,FALSE),0)</f>
        <v>10491.248381498963</v>
      </c>
      <c r="AB17" s="12">
        <f>IFERROR(VLOOKUP($D17,Population!$B$5:$Y$174,23,FALSE),0)</f>
        <v>9185.2672688781877</v>
      </c>
      <c r="AC17" s="12">
        <f>IFERROR(VLOOKUP($D17,Population!$B$5:$Y$174,24,FALSE),0)</f>
        <v>9166</v>
      </c>
    </row>
    <row r="18" spans="1:29" ht="15" x14ac:dyDescent="0.25">
      <c r="A18" s="2" t="s">
        <v>24</v>
      </c>
      <c r="B18" s="2" t="s">
        <v>503</v>
      </c>
      <c r="C18" s="2" t="s">
        <v>52</v>
      </c>
      <c r="D18" s="2">
        <v>729</v>
      </c>
      <c r="E18" s="11">
        <v>2022</v>
      </c>
      <c r="F18" s="12">
        <f>VLOOKUP($D18,'2022Data to Complete Appendix C'!$C$8:$Q$313,2,FALSE)</f>
        <v>1577</v>
      </c>
      <c r="G18" s="12">
        <f>VLOOKUP($D18,'2022Data to Complete Appendix C'!$C$8:$Q$313,3,FALSE)</f>
        <v>781</v>
      </c>
      <c r="H18" s="12">
        <f>VLOOKUP($D18,'2022Data to Complete Appendix C'!$C$8:$Q$313,4,FALSE)</f>
        <v>0</v>
      </c>
      <c r="I18" s="12">
        <f>VLOOKUP($D18,'2022Data to Complete Appendix C'!$C$8:$Q$313,5,FALSE)</f>
        <v>1028</v>
      </c>
      <c r="J18" s="114">
        <f>VLOOKUP($D18,'2022Data to Complete Appendix C'!$C$8:$Q$313,6,FALSE)</f>
        <v>2.0192100000000002</v>
      </c>
      <c r="K18" s="114">
        <f>VLOOKUP($D18,'2022Data to Complete Appendix C'!$C$8:$Q$313,7,FALSE)</f>
        <v>1.95</v>
      </c>
      <c r="L18" s="114">
        <f>VLOOKUP($D18,'2022Data to Complete Appendix C'!$C$8:$Q$313,8,FALSE)</f>
        <v>1.10314</v>
      </c>
      <c r="M18" s="12">
        <f>VLOOKUP($D18,'2022Data to Complete Appendix C'!$C$8:$Q$313,9,FALSE)</f>
        <v>83.411199999999994</v>
      </c>
      <c r="N18" s="114">
        <f>VLOOKUP($D18,'2022Data to Complete Appendix C'!$C$8:$Q$313,10,FALSE)</f>
        <v>9.6494800000000006E-2</v>
      </c>
      <c r="O18" s="115">
        <f>VLOOKUP($D18,'2022Data to Complete Appendix C'!$C$8:$Q$313,11,FALSE)</f>
        <v>0.56699999999999995</v>
      </c>
      <c r="P18" s="115">
        <f>VLOOKUP($D18,'2022Data to Complete Appendix C'!$C$8:$Q$313,12,FALSE)</f>
        <v>0.772675</v>
      </c>
      <c r="Q18" s="115">
        <f>VLOOKUP($D18,'2022Data to Complete Appendix C'!$C$8:$Q$313,13,FALSE)</f>
        <v>0.622</v>
      </c>
      <c r="R18" s="114">
        <f>VLOOKUP($D18,'2022Data to Complete Appendix C'!$C$8:$Q$313,14,FALSE)</f>
        <v>2.2999999999999998</v>
      </c>
      <c r="S18" s="115">
        <f>VLOOKUP($D18,'2022Data to Complete Appendix C'!$C$8:$Q$313,15,FALSE)</f>
        <v>-0.47904200000000002</v>
      </c>
      <c r="T18" s="12">
        <f>IFERROR(VLOOKUP($D18,'2022LodgingbyWUP'!$A$1:$D$98,4,FALSE),0)</f>
        <v>1</v>
      </c>
      <c r="U18" s="12">
        <f t="shared" si="0"/>
        <v>1.4305999999999999</v>
      </c>
      <c r="V18" s="12">
        <f>IFERROR(VLOOKUP($D18,Total_DU!$B$5:$Z$174,22,0),0)</f>
        <v>0</v>
      </c>
      <c r="W18" s="12">
        <f>IFERROR(VLOOKUP($D18,Total_DU!$B$5:$Z$174,23,0),0)</f>
        <v>0</v>
      </c>
      <c r="X18" s="12">
        <f>IFERROR(VLOOKUP($D18,Total_DU!$B$5:$Z$174,24,0),0)</f>
        <v>0</v>
      </c>
      <c r="Y18" s="12">
        <f>IFERROR(VLOOKUP($D18,Total_DU!$B$5:$Z$174,25,0),0)</f>
        <v>0</v>
      </c>
      <c r="Z18" s="12">
        <f>IFERROR(VLOOKUP($D18,Population!$B$5:$Y$174,21,FALSE),0)</f>
        <v>0</v>
      </c>
      <c r="AA18" s="12">
        <f>IFERROR(VLOOKUP($D18,Population!$B$5:$Y$174,22,FALSE),0)</f>
        <v>0</v>
      </c>
      <c r="AB18" s="12">
        <f>IFERROR(VLOOKUP($D18,Population!$B$5:$Y$174,23,FALSE),0)</f>
        <v>0</v>
      </c>
      <c r="AC18" s="12">
        <f>IFERROR(VLOOKUP($D18,Population!$B$5:$Y$174,24,FALSE),0)</f>
        <v>0</v>
      </c>
    </row>
    <row r="19" spans="1:29" ht="15" x14ac:dyDescent="0.25">
      <c r="A19" s="11" t="s">
        <v>24</v>
      </c>
      <c r="B19" s="11" t="s">
        <v>504</v>
      </c>
      <c r="C19" s="11" t="s">
        <v>104</v>
      </c>
      <c r="D19" s="11">
        <v>1118</v>
      </c>
      <c r="E19" s="11">
        <v>2022</v>
      </c>
      <c r="F19" s="12">
        <f>VLOOKUP($D19,'2022Data to Complete Appendix C'!$C$8:$Q$313,2,FALSE)</f>
        <v>7567</v>
      </c>
      <c r="G19" s="12">
        <f>VLOOKUP($D19,'2022Data to Complete Appendix C'!$C$8:$Q$313,3,FALSE)</f>
        <v>3481</v>
      </c>
      <c r="H19" s="12">
        <f>VLOOKUP($D19,'2022Data to Complete Appendix C'!$C$8:$Q$313,4,FALSE)</f>
        <v>115</v>
      </c>
      <c r="I19" s="12">
        <f>VLOOKUP($D19,'2022Data to Complete Appendix C'!$C$8:$Q$313,5,FALSE)</f>
        <v>4493</v>
      </c>
      <c r="J19" s="114">
        <f>VLOOKUP($D19,'2022Data to Complete Appendix C'!$C$8:$Q$313,6,FALSE)</f>
        <v>2.1738</v>
      </c>
      <c r="K19" s="114">
        <f>VLOOKUP($D19,'2022Data to Complete Appendix C'!$C$8:$Q$313,7,FALSE)</f>
        <v>1.95</v>
      </c>
      <c r="L19" s="114">
        <f>VLOOKUP($D19,'2022Data to Complete Appendix C'!$C$8:$Q$313,8,FALSE)</f>
        <v>1.1883600000000001</v>
      </c>
      <c r="M19" s="12">
        <f>VLOOKUP($D19,'2022Data to Complete Appendix C'!$C$8:$Q$313,9,FALSE)</f>
        <v>730.95299999999997</v>
      </c>
      <c r="N19" s="114">
        <f>VLOOKUP($D19,'2022Data to Complete Appendix C'!$C$8:$Q$313,10,FALSE)</f>
        <v>0.173542</v>
      </c>
      <c r="O19" s="115">
        <f>VLOOKUP($D19,'2022Data to Complete Appendix C'!$C$8:$Q$313,11,FALSE)</f>
        <v>0.56699999999999995</v>
      </c>
      <c r="P19" s="115">
        <f>VLOOKUP($D19,'2022Data to Complete Appendix C'!$C$8:$Q$313,12,FALSE)</f>
        <v>0.772675</v>
      </c>
      <c r="Q19" s="115">
        <f>VLOOKUP($D19,'2022Data to Complete Appendix C'!$C$8:$Q$313,13,FALSE)</f>
        <v>0.622</v>
      </c>
      <c r="R19" s="114">
        <f>VLOOKUP($D19,'2022Data to Complete Appendix C'!$C$8:$Q$313,14,FALSE)</f>
        <v>2.2999999999999998</v>
      </c>
      <c r="S19" s="115">
        <f>VLOOKUP($D19,'2022Data to Complete Appendix C'!$C$8:$Q$313,15,FALSE)</f>
        <v>-0.43121399999999999</v>
      </c>
      <c r="T19" s="12">
        <f>IFERROR(VLOOKUP($D19,'2022LodgingbyWUP'!$A$1:$D$98,4,FALSE),0)</f>
        <v>10</v>
      </c>
      <c r="U19" s="12">
        <f t="shared" si="0"/>
        <v>14.305999999999999</v>
      </c>
      <c r="V19" s="12">
        <f>IFERROR(VLOOKUP($D19,Total_DU!$B$5:$Z$174,22,0),0)</f>
        <v>2434</v>
      </c>
      <c r="W19" s="12">
        <f>IFERROR(VLOOKUP($D19,Total_DU!$B$5:$Z$174,23,0),0)</f>
        <v>2434</v>
      </c>
      <c r="X19" s="12">
        <f>IFERROR(VLOOKUP($D19,Total_DU!$B$5:$Z$174,24,0),0)</f>
        <v>2485</v>
      </c>
      <c r="Y19" s="12">
        <f>IFERROR(VLOOKUP($D19,Total_DU!$B$5:$Z$174,25,0),0)</f>
        <v>2487</v>
      </c>
      <c r="Z19" s="12">
        <f>IFERROR(VLOOKUP($D19,Population!$B$5:$Y$174,21,FALSE),0)</f>
        <v>5086.9441048497811</v>
      </c>
      <c r="AA19" s="12">
        <f>IFERROR(VLOOKUP($D19,Population!$B$5:$Y$174,22,FALSE),0)</f>
        <v>5084.9336874861701</v>
      </c>
      <c r="AB19" s="12">
        <f>IFERROR(VLOOKUP($D19,Population!$B$5:$Y$174,23,FALSE),0)</f>
        <v>5190.2001271249919</v>
      </c>
      <c r="AC19" s="12">
        <f>IFERROR(VLOOKUP($D19,Population!$B$5:$Y$174,24,FALSE),0)</f>
        <v>5196</v>
      </c>
    </row>
    <row r="20" spans="1:29" ht="15" x14ac:dyDescent="0.25">
      <c r="A20" s="2" t="s">
        <v>24</v>
      </c>
      <c r="B20" s="2" t="s">
        <v>505</v>
      </c>
      <c r="C20" s="2" t="s">
        <v>145</v>
      </c>
      <c r="D20" s="2">
        <v>1345</v>
      </c>
      <c r="E20" s="11">
        <v>2022</v>
      </c>
      <c r="F20" s="12">
        <f>VLOOKUP($D20,'2022Data to Complete Appendix C'!$C$8:$Q$313,2,FALSE)</f>
        <v>359</v>
      </c>
      <c r="G20" s="12">
        <f>VLOOKUP($D20,'2022Data to Complete Appendix C'!$C$8:$Q$313,3,FALSE)</f>
        <v>226</v>
      </c>
      <c r="H20" s="12">
        <f>VLOOKUP($D20,'2022Data to Complete Appendix C'!$C$8:$Q$313,4,FALSE)</f>
        <v>0</v>
      </c>
      <c r="I20" s="12">
        <f>VLOOKUP($D20,'2022Data to Complete Appendix C'!$C$8:$Q$313,5,FALSE)</f>
        <v>274</v>
      </c>
      <c r="J20" s="114">
        <f>VLOOKUP($D20,'2022Data to Complete Appendix C'!$C$8:$Q$313,6,FALSE)</f>
        <v>1.5885</v>
      </c>
      <c r="K20" s="114">
        <f>VLOOKUP($D20,'2022Data to Complete Appendix C'!$C$8:$Q$313,7,FALSE)</f>
        <v>1.95</v>
      </c>
      <c r="L20" s="114">
        <f>VLOOKUP($D20,'2022Data to Complete Appendix C'!$C$8:$Q$313,8,FALSE)</f>
        <v>1.08029</v>
      </c>
      <c r="M20" s="12">
        <f>VLOOKUP($D20,'2022Data to Complete Appendix C'!$C$8:$Q$313,9,FALSE)</f>
        <v>14.7812</v>
      </c>
      <c r="N20" s="114">
        <f>VLOOKUP($D20,'2022Data to Complete Appendix C'!$C$8:$Q$313,10,FALSE)</f>
        <v>6.1388600000000001E-2</v>
      </c>
      <c r="O20" s="115">
        <f>VLOOKUP($D20,'2022Data to Complete Appendix C'!$C$8:$Q$313,11,FALSE)</f>
        <v>0.56699999999999995</v>
      </c>
      <c r="P20" s="115">
        <f>VLOOKUP($D20,'2022Data to Complete Appendix C'!$C$8:$Q$313,12,FALSE)</f>
        <v>0.772675</v>
      </c>
      <c r="Q20" s="115">
        <f>VLOOKUP($D20,'2022Data to Complete Appendix C'!$C$8:$Q$313,13,FALSE)</f>
        <v>0.622</v>
      </c>
      <c r="R20" s="114">
        <f>VLOOKUP($D20,'2022Data to Complete Appendix C'!$C$8:$Q$313,14,FALSE)</f>
        <v>2.2999999999999998</v>
      </c>
      <c r="S20" s="115">
        <f>VLOOKUP($D20,'2022Data to Complete Appendix C'!$C$8:$Q$313,15,FALSE)</f>
        <v>-0.50578900000000004</v>
      </c>
      <c r="T20" s="12">
        <f>IFERROR(VLOOKUP($D20,'2022LodgingbyWUP'!$A$1:$D$98,4,FALSE),0)</f>
        <v>0</v>
      </c>
      <c r="U20" s="12">
        <f t="shared" si="0"/>
        <v>0</v>
      </c>
      <c r="V20" s="12">
        <f>IFERROR(VLOOKUP($D20,Total_DU!$B$5:$Z$174,22,0),0)</f>
        <v>0</v>
      </c>
      <c r="W20" s="12">
        <f>IFERROR(VLOOKUP($D20,Total_DU!$B$5:$Z$174,23,0),0)</f>
        <v>0</v>
      </c>
      <c r="X20" s="12">
        <f>IFERROR(VLOOKUP($D20,Total_DU!$B$5:$Z$174,24,0),0)</f>
        <v>0</v>
      </c>
      <c r="Y20" s="12">
        <f>IFERROR(VLOOKUP($D20,Total_DU!$B$5:$Z$174,25,0),0)</f>
        <v>0</v>
      </c>
      <c r="Z20" s="12">
        <f>IFERROR(VLOOKUP($D20,Population!$B$5:$Y$174,21,FALSE),0)</f>
        <v>0</v>
      </c>
      <c r="AA20" s="12">
        <f>IFERROR(VLOOKUP($D20,Population!$B$5:$Y$174,22,FALSE),0)</f>
        <v>0</v>
      </c>
      <c r="AB20" s="12">
        <f>IFERROR(VLOOKUP($D20,Population!$B$5:$Y$174,23,FALSE),0)</f>
        <v>0</v>
      </c>
      <c r="AC20" s="12">
        <f>IFERROR(VLOOKUP($D20,Population!$B$5:$Y$174,24,FALSE),0)</f>
        <v>0</v>
      </c>
    </row>
    <row r="21" spans="1:29" ht="15" x14ac:dyDescent="0.25">
      <c r="A21" s="11" t="s">
        <v>24</v>
      </c>
      <c r="B21" s="11" t="s">
        <v>506</v>
      </c>
      <c r="C21" s="11" t="s">
        <v>52</v>
      </c>
      <c r="D21" s="11">
        <v>2842</v>
      </c>
      <c r="E21" s="11">
        <v>2022</v>
      </c>
      <c r="F21" s="12">
        <f>VLOOKUP($D21,'2022Data to Complete Appendix C'!$C$8:$Q$313,2,FALSE)</f>
        <v>17689</v>
      </c>
      <c r="G21" s="12">
        <f>VLOOKUP($D21,'2022Data to Complete Appendix C'!$C$8:$Q$313,3,FALSE)</f>
        <v>7293</v>
      </c>
      <c r="H21" s="12">
        <f>VLOOKUP($D21,'2022Data to Complete Appendix C'!$C$8:$Q$313,4,FALSE)</f>
        <v>44</v>
      </c>
      <c r="I21" s="12">
        <f>VLOOKUP($D21,'2022Data to Complete Appendix C'!$C$8:$Q$313,5,FALSE)</f>
        <v>8333</v>
      </c>
      <c r="J21" s="114">
        <f>VLOOKUP($D21,'2022Data to Complete Appendix C'!$C$8:$Q$313,6,FALSE)</f>
        <v>2.4254799999999999</v>
      </c>
      <c r="K21" s="114">
        <f>VLOOKUP($D21,'2022Data to Complete Appendix C'!$C$8:$Q$313,7,FALSE)</f>
        <v>1.95</v>
      </c>
      <c r="L21" s="114">
        <f>VLOOKUP($D21,'2022Data to Complete Appendix C'!$C$8:$Q$313,8,FALSE)</f>
        <v>1.056</v>
      </c>
      <c r="M21" s="12">
        <f>VLOOKUP($D21,'2022Data to Complete Appendix C'!$C$8:$Q$313,9,FALSE)</f>
        <v>507.95600000000002</v>
      </c>
      <c r="N21" s="114">
        <f>VLOOKUP($D21,'2022Data to Complete Appendix C'!$C$8:$Q$313,10,FALSE)</f>
        <v>6.5114500000000006E-2</v>
      </c>
      <c r="O21" s="115">
        <f>VLOOKUP($D21,'2022Data to Complete Appendix C'!$C$8:$Q$313,11,FALSE)</f>
        <v>0.56699999999999995</v>
      </c>
      <c r="P21" s="115">
        <f>VLOOKUP($D21,'2022Data to Complete Appendix C'!$C$8:$Q$313,12,FALSE)</f>
        <v>0.772675</v>
      </c>
      <c r="Q21" s="115">
        <f>VLOOKUP($D21,'2022Data to Complete Appendix C'!$C$8:$Q$313,13,FALSE)</f>
        <v>0.622</v>
      </c>
      <c r="R21" s="114">
        <f>VLOOKUP($D21,'2022Data to Complete Appendix C'!$C$8:$Q$313,14,FALSE)</f>
        <v>2.2999999999999998</v>
      </c>
      <c r="S21" s="115">
        <f>VLOOKUP($D21,'2022Data to Complete Appendix C'!$C$8:$Q$313,15,FALSE)</f>
        <v>-0.37138599999999999</v>
      </c>
      <c r="T21" s="12">
        <f>IFERROR(VLOOKUP($D21,'2022LodgingbyWUP'!$A$1:$D$98,4,FALSE),0)</f>
        <v>8</v>
      </c>
      <c r="U21" s="12">
        <f t="shared" si="0"/>
        <v>11.444799999999999</v>
      </c>
      <c r="V21" s="12">
        <f>IFERROR(VLOOKUP($D21,Total_DU!$B$5:$Z$174,22,0),0)</f>
        <v>7735</v>
      </c>
      <c r="W21" s="12">
        <f>IFERROR(VLOOKUP($D21,Total_DU!$B$5:$Z$174,23,0),0)</f>
        <v>7905</v>
      </c>
      <c r="X21" s="12">
        <f>IFERROR(VLOOKUP($D21,Total_DU!$B$5:$Z$174,24,0),0)</f>
        <v>8346</v>
      </c>
      <c r="Y21" s="12">
        <f>IFERROR(VLOOKUP($D21,Total_DU!$B$5:$Z$174,25,0),0)</f>
        <v>8912</v>
      </c>
      <c r="Z21" s="12">
        <f>IFERROR(VLOOKUP($D21,Population!$B$5:$Y$174,21,FALSE),0)</f>
        <v>18339.157365515952</v>
      </c>
      <c r="AA21" s="12">
        <f>IFERROR(VLOOKUP($D21,Population!$B$5:$Y$174,22,FALSE),0)</f>
        <v>18761.534422693912</v>
      </c>
      <c r="AB21" s="12">
        <f>IFERROR(VLOOKUP($D21,Population!$B$5:$Y$174,23,FALSE),0)</f>
        <v>19805.672442450697</v>
      </c>
      <c r="AC21" s="12">
        <f>IFERROR(VLOOKUP($D21,Population!$B$5:$Y$174,24,FALSE),0)</f>
        <v>21150</v>
      </c>
    </row>
    <row r="22" spans="1:29" ht="15" x14ac:dyDescent="0.25">
      <c r="A22" s="2" t="s">
        <v>24</v>
      </c>
      <c r="B22" s="2" t="s">
        <v>507</v>
      </c>
      <c r="C22" s="2" t="s">
        <v>101</v>
      </c>
      <c r="D22" s="2">
        <v>4008</v>
      </c>
      <c r="E22" s="11">
        <v>2022</v>
      </c>
      <c r="F22" s="12">
        <f>VLOOKUP($D22,'2022Data to Complete Appendix C'!$C$8:$Q$313,2,FALSE)</f>
        <v>176</v>
      </c>
      <c r="G22" s="12">
        <f>VLOOKUP($D22,'2022Data to Complete Appendix C'!$C$8:$Q$313,3,FALSE)</f>
        <v>105</v>
      </c>
      <c r="H22" s="12">
        <f>VLOOKUP($D22,'2022Data to Complete Appendix C'!$C$8:$Q$313,4,FALSE)</f>
        <v>0</v>
      </c>
      <c r="I22" s="12">
        <f>VLOOKUP($D22,'2022Data to Complete Appendix C'!$C$8:$Q$313,5,FALSE)</f>
        <v>145</v>
      </c>
      <c r="J22" s="114">
        <f>VLOOKUP($D22,'2022Data to Complete Appendix C'!$C$8:$Q$313,6,FALSE)</f>
        <v>1.6761900000000001</v>
      </c>
      <c r="K22" s="114">
        <f>VLOOKUP($D22,'2022Data to Complete Appendix C'!$C$8:$Q$313,7,FALSE)</f>
        <v>1.95</v>
      </c>
      <c r="L22" s="114">
        <f>VLOOKUP($D22,'2022Data to Complete Appendix C'!$C$8:$Q$313,8,FALSE)</f>
        <v>1.07541</v>
      </c>
      <c r="M22" s="12">
        <f>VLOOKUP($D22,'2022Data to Complete Appendix C'!$C$8:$Q$313,9,FALSE)</f>
        <v>6.8065100000000003</v>
      </c>
      <c r="N22" s="114">
        <f>VLOOKUP($D22,'2022Data to Complete Appendix C'!$C$8:$Q$313,10,FALSE)</f>
        <v>6.0877599999999997E-2</v>
      </c>
      <c r="O22" s="115">
        <f>VLOOKUP($D22,'2022Data to Complete Appendix C'!$C$8:$Q$313,11,FALSE)</f>
        <v>0.56699999999999995</v>
      </c>
      <c r="P22" s="115">
        <f>VLOOKUP($D22,'2022Data to Complete Appendix C'!$C$8:$Q$313,12,FALSE)</f>
        <v>0.772675</v>
      </c>
      <c r="Q22" s="115">
        <f>VLOOKUP($D22,'2022Data to Complete Appendix C'!$C$8:$Q$313,13,FALSE)</f>
        <v>0.622</v>
      </c>
      <c r="R22" s="114">
        <f>VLOOKUP($D22,'2022Data to Complete Appendix C'!$C$8:$Q$313,14,FALSE)</f>
        <v>2.2999999999999998</v>
      </c>
      <c r="S22" s="115">
        <f>VLOOKUP($D22,'2022Data to Complete Appendix C'!$C$8:$Q$313,15,FALSE)</f>
        <v>0.110862</v>
      </c>
      <c r="T22" s="12">
        <f>IFERROR(VLOOKUP($D22,'2022LodgingbyWUP'!$A$1:$D$98,4,FALSE),0)</f>
        <v>0</v>
      </c>
      <c r="U22" s="12">
        <f t="shared" si="0"/>
        <v>0</v>
      </c>
      <c r="V22" s="12">
        <f>IFERROR(VLOOKUP($D22,Total_DU!$B$5:$Z$174,22,0),0)</f>
        <v>0</v>
      </c>
      <c r="W22" s="12">
        <f>IFERROR(VLOOKUP($D22,Total_DU!$B$5:$Z$174,23,0),0)</f>
        <v>0</v>
      </c>
      <c r="X22" s="12">
        <f>IFERROR(VLOOKUP($D22,Total_DU!$B$5:$Z$174,24,0),0)</f>
        <v>0</v>
      </c>
      <c r="Y22" s="12">
        <f>IFERROR(VLOOKUP($D22,Total_DU!$B$5:$Z$174,25,0),0)</f>
        <v>0</v>
      </c>
      <c r="Z22" s="12">
        <f>IFERROR(VLOOKUP($D22,Population!$B$5:$Y$174,21,FALSE),0)</f>
        <v>0</v>
      </c>
      <c r="AA22" s="12">
        <f>IFERROR(VLOOKUP($D22,Population!$B$5:$Y$174,22,FALSE),0)</f>
        <v>0</v>
      </c>
      <c r="AB22" s="12">
        <f>IFERROR(VLOOKUP($D22,Population!$B$5:$Y$174,23,FALSE),0)</f>
        <v>0</v>
      </c>
      <c r="AC22" s="12">
        <f>IFERROR(VLOOKUP($D22,Population!$B$5:$Y$174,24,FALSE),0)</f>
        <v>0</v>
      </c>
    </row>
    <row r="23" spans="1:29" ht="15" x14ac:dyDescent="0.25">
      <c r="A23" s="11" t="s">
        <v>24</v>
      </c>
      <c r="B23" s="11" t="s">
        <v>508</v>
      </c>
      <c r="C23" s="11" t="s">
        <v>144</v>
      </c>
      <c r="D23" s="11">
        <v>4153</v>
      </c>
      <c r="E23" s="11">
        <v>2022</v>
      </c>
      <c r="F23" s="12">
        <f>VLOOKUP($D23,'2022Data to Complete Appendix C'!$C$8:$Q$313,2,FALSE)</f>
        <v>10067</v>
      </c>
      <c r="G23" s="12">
        <f>VLOOKUP($D23,'2022Data to Complete Appendix C'!$C$8:$Q$313,3,FALSE)</f>
        <v>4927</v>
      </c>
      <c r="H23" s="12">
        <f>VLOOKUP($D23,'2022Data to Complete Appendix C'!$C$8:$Q$313,4,FALSE)</f>
        <v>19</v>
      </c>
      <c r="I23" s="12">
        <f>VLOOKUP($D23,'2022Data to Complete Appendix C'!$C$8:$Q$313,5,FALSE)</f>
        <v>5865</v>
      </c>
      <c r="J23" s="114">
        <f>VLOOKUP($D23,'2022Data to Complete Appendix C'!$C$8:$Q$313,6,FALSE)</f>
        <v>2.0432299999999999</v>
      </c>
      <c r="K23" s="114">
        <f>VLOOKUP($D23,'2022Data to Complete Appendix C'!$C$8:$Q$313,7,FALSE)</f>
        <v>1.95</v>
      </c>
      <c r="L23" s="114">
        <f>VLOOKUP($D23,'2022Data to Complete Appendix C'!$C$8:$Q$313,8,FALSE)</f>
        <v>1.0640700000000001</v>
      </c>
      <c r="M23" s="12">
        <f>VLOOKUP($D23,'2022Data to Complete Appendix C'!$C$8:$Q$313,9,FALSE)</f>
        <v>330.755</v>
      </c>
      <c r="N23" s="114">
        <f>VLOOKUP($D23,'2022Data to Complete Appendix C'!$C$8:$Q$313,10,FALSE)</f>
        <v>6.2908099999999995E-2</v>
      </c>
      <c r="O23" s="115">
        <f>VLOOKUP($D23,'2022Data to Complete Appendix C'!$C$8:$Q$313,11,FALSE)</f>
        <v>0.56699999999999995</v>
      </c>
      <c r="P23" s="115">
        <f>VLOOKUP($D23,'2022Data to Complete Appendix C'!$C$8:$Q$313,12,FALSE)</f>
        <v>0.772675</v>
      </c>
      <c r="Q23" s="115">
        <f>VLOOKUP($D23,'2022Data to Complete Appendix C'!$C$8:$Q$313,13,FALSE)</f>
        <v>0.622</v>
      </c>
      <c r="R23" s="114">
        <f>VLOOKUP($D23,'2022Data to Complete Appendix C'!$C$8:$Q$313,14,FALSE)</f>
        <v>2.2999999999999998</v>
      </c>
      <c r="S23" s="115">
        <f>VLOOKUP($D23,'2022Data to Complete Appendix C'!$C$8:$Q$313,15,FALSE)</f>
        <v>-0.329924</v>
      </c>
      <c r="T23" s="12">
        <f>IFERROR(VLOOKUP($D23,'2022LodgingbyWUP'!$A$1:$D$98,4,FALSE),0)</f>
        <v>5</v>
      </c>
      <c r="U23" s="12">
        <f t="shared" si="0"/>
        <v>7.1529999999999996</v>
      </c>
      <c r="V23" s="12">
        <f>IFERROR(VLOOKUP($D23,Total_DU!$B$5:$Z$174,22,0),0)</f>
        <v>5642</v>
      </c>
      <c r="W23" s="12">
        <f>IFERROR(VLOOKUP($D23,Total_DU!$B$5:$Z$174,23,0),0)</f>
        <v>5718</v>
      </c>
      <c r="X23" s="12">
        <f>IFERROR(VLOOKUP($D23,Total_DU!$B$5:$Z$174,24,0),0)</f>
        <v>5737</v>
      </c>
      <c r="Y23" s="12">
        <f>IFERROR(VLOOKUP($D23,Total_DU!$B$5:$Z$174,25,0),0)</f>
        <v>5888</v>
      </c>
      <c r="Z23" s="12">
        <f>IFERROR(VLOOKUP($D23,Population!$B$5:$Y$174,21,FALSE),0)</f>
        <v>11356.290793127102</v>
      </c>
      <c r="AA23" s="12">
        <f>IFERROR(VLOOKUP($D23,Population!$B$5:$Y$174,22,FALSE),0)</f>
        <v>11510.206067666331</v>
      </c>
      <c r="AB23" s="12">
        <f>IFERROR(VLOOKUP($D23,Population!$B$5:$Y$174,23,FALSE),0)</f>
        <v>11548.33651288406</v>
      </c>
      <c r="AC23" s="12">
        <f>IFERROR(VLOOKUP($D23,Population!$B$5:$Y$174,24,FALSE),0)</f>
        <v>11856</v>
      </c>
    </row>
    <row r="24" spans="1:29" ht="15" x14ac:dyDescent="0.25">
      <c r="A24" s="2" t="s">
        <v>24</v>
      </c>
      <c r="B24" s="2" t="s">
        <v>509</v>
      </c>
      <c r="C24" s="2" t="s">
        <v>13</v>
      </c>
      <c r="D24" s="2">
        <v>4406</v>
      </c>
      <c r="E24" s="11">
        <v>2022</v>
      </c>
      <c r="F24" s="12">
        <f>VLOOKUP($D24,'2022Data to Complete Appendix C'!$C$8:$Q$313,2,FALSE)</f>
        <v>6829</v>
      </c>
      <c r="G24" s="12">
        <f>VLOOKUP($D24,'2022Data to Complete Appendix C'!$C$8:$Q$313,3,FALSE)</f>
        <v>3278</v>
      </c>
      <c r="H24" s="12">
        <f>VLOOKUP($D24,'2022Data to Complete Appendix C'!$C$8:$Q$313,4,FALSE)</f>
        <v>177</v>
      </c>
      <c r="I24" s="12">
        <f>VLOOKUP($D24,'2022Data to Complete Appendix C'!$C$8:$Q$313,5,FALSE)</f>
        <v>4455</v>
      </c>
      <c r="J24" s="114">
        <f>VLOOKUP($D24,'2022Data to Complete Appendix C'!$C$8:$Q$313,6,FALSE)</f>
        <v>2.0832799999999998</v>
      </c>
      <c r="K24" s="114">
        <f>VLOOKUP($D24,'2022Data to Complete Appendix C'!$C$8:$Q$313,7,FALSE)</f>
        <v>1.95</v>
      </c>
      <c r="L24" s="114">
        <f>VLOOKUP($D24,'2022Data to Complete Appendix C'!$C$8:$Q$313,8,FALSE)</f>
        <v>1.13849</v>
      </c>
      <c r="M24" s="12">
        <f>VLOOKUP($D24,'2022Data to Complete Appendix C'!$C$8:$Q$313,9,FALSE)</f>
        <v>484.98500000000001</v>
      </c>
      <c r="N24" s="114">
        <f>VLOOKUP($D24,'2022Data to Complete Appendix C'!$C$8:$Q$313,10,FALSE)</f>
        <v>0.128883</v>
      </c>
      <c r="O24" s="115">
        <f>VLOOKUP($D24,'2022Data to Complete Appendix C'!$C$8:$Q$313,11,FALSE)</f>
        <v>0.56699999999999995</v>
      </c>
      <c r="P24" s="115">
        <f>VLOOKUP($D24,'2022Data to Complete Appendix C'!$C$8:$Q$313,12,FALSE)</f>
        <v>0.772675</v>
      </c>
      <c r="Q24" s="115">
        <f>VLOOKUP($D24,'2022Data to Complete Appendix C'!$C$8:$Q$313,13,FALSE)</f>
        <v>0.622</v>
      </c>
      <c r="R24" s="114">
        <f>VLOOKUP($D24,'2022Data to Complete Appendix C'!$C$8:$Q$313,14,FALSE)</f>
        <v>2.2999999999999998</v>
      </c>
      <c r="S24" s="115">
        <f>VLOOKUP($D24,'2022Data to Complete Appendix C'!$C$8:$Q$313,15,FALSE)</f>
        <v>0.449075</v>
      </c>
      <c r="T24" s="12">
        <f>IFERROR(VLOOKUP($D24,'2022LodgingbyWUP'!$A$1:$D$98,4,FALSE),0)</f>
        <v>285</v>
      </c>
      <c r="U24" s="12">
        <f t="shared" si="0"/>
        <v>407.721</v>
      </c>
      <c r="V24" s="12">
        <f>IFERROR(VLOOKUP($D24,Total_DU!$B$5:$Z$174,22,0),0)</f>
        <v>2490</v>
      </c>
      <c r="W24" s="12">
        <f>IFERROR(VLOOKUP($D24,Total_DU!$B$5:$Z$174,23,0),0)</f>
        <v>2495</v>
      </c>
      <c r="X24" s="12">
        <f>IFERROR(VLOOKUP($D24,Total_DU!$B$5:$Z$174,24,0),0)</f>
        <v>2513</v>
      </c>
      <c r="Y24" s="12">
        <f>IFERROR(VLOOKUP($D24,Total_DU!$B$5:$Z$174,25,0),0)</f>
        <v>2537</v>
      </c>
      <c r="Z24" s="12">
        <f>IFERROR(VLOOKUP($D24,Population!$B$5:$Y$174,21,FALSE),0)</f>
        <v>5764.5071782064388</v>
      </c>
      <c r="AA24" s="12">
        <f>IFERROR(VLOOKUP($D24,Population!$B$5:$Y$174,22,FALSE),0)</f>
        <v>5778.1157667312527</v>
      </c>
      <c r="AB24" s="12">
        <f>IFERROR(VLOOKUP($D24,Population!$B$5:$Y$174,23,FALSE),0)</f>
        <v>5802.196827144262</v>
      </c>
      <c r="AC24" s="12">
        <f>IFERROR(VLOOKUP($D24,Population!$B$5:$Y$174,24,FALSE),0)</f>
        <v>5829</v>
      </c>
    </row>
    <row r="25" spans="1:29" ht="15" x14ac:dyDescent="0.25">
      <c r="A25" s="11" t="s">
        <v>24</v>
      </c>
      <c r="B25" s="11" t="s">
        <v>510</v>
      </c>
      <c r="C25" s="11" t="s">
        <v>96</v>
      </c>
      <c r="D25" s="11">
        <v>4753</v>
      </c>
      <c r="E25" s="11">
        <v>2022</v>
      </c>
      <c r="F25" s="12">
        <f>VLOOKUP($D25,'2022Data to Complete Appendix C'!$C$8:$Q$313,2,FALSE)</f>
        <v>1166</v>
      </c>
      <c r="G25" s="12">
        <f>VLOOKUP($D25,'2022Data to Complete Appendix C'!$C$8:$Q$313,3,FALSE)</f>
        <v>497</v>
      </c>
      <c r="H25" s="12">
        <f>VLOOKUP($D25,'2022Data to Complete Appendix C'!$C$8:$Q$313,4,FALSE)</f>
        <v>5</v>
      </c>
      <c r="I25" s="12">
        <f>VLOOKUP($D25,'2022Data to Complete Appendix C'!$C$8:$Q$313,5,FALSE)</f>
        <v>555</v>
      </c>
      <c r="J25" s="114">
        <f>VLOOKUP($D25,'2022Data to Complete Appendix C'!$C$8:$Q$313,6,FALSE)</f>
        <v>2.3460800000000002</v>
      </c>
      <c r="K25" s="114">
        <f>VLOOKUP($D25,'2022Data to Complete Appendix C'!$C$8:$Q$313,7,FALSE)</f>
        <v>1.95</v>
      </c>
      <c r="L25" s="114">
        <f>VLOOKUP($D25,'2022Data to Complete Appendix C'!$C$8:$Q$313,8,FALSE)</f>
        <v>1.11374</v>
      </c>
      <c r="M25" s="12">
        <f>VLOOKUP($D25,'2022Data to Complete Appendix C'!$C$8:$Q$313,9,FALSE)</f>
        <v>68.011300000000006</v>
      </c>
      <c r="N25" s="114">
        <f>VLOOKUP($D25,'2022Data to Complete Appendix C'!$C$8:$Q$313,10,FALSE)</f>
        <v>0.12037200000000001</v>
      </c>
      <c r="O25" s="115">
        <f>VLOOKUP($D25,'2022Data to Complete Appendix C'!$C$8:$Q$313,11,FALSE)</f>
        <v>0.56699999999999995</v>
      </c>
      <c r="P25" s="115">
        <f>VLOOKUP($D25,'2022Data to Complete Appendix C'!$C$8:$Q$313,12,FALSE)</f>
        <v>0.772675</v>
      </c>
      <c r="Q25" s="115">
        <f>VLOOKUP($D25,'2022Data to Complete Appendix C'!$C$8:$Q$313,13,FALSE)</f>
        <v>0.622</v>
      </c>
      <c r="R25" s="114">
        <f>VLOOKUP($D25,'2022Data to Complete Appendix C'!$C$8:$Q$313,14,FALSE)</f>
        <v>2.2999999999999998</v>
      </c>
      <c r="S25" s="115">
        <f>VLOOKUP($D25,'2022Data to Complete Appendix C'!$C$8:$Q$313,15,FALSE)</f>
        <v>-0.32434499999999999</v>
      </c>
      <c r="T25" s="12">
        <f>IFERROR(VLOOKUP($D25,'2022LodgingbyWUP'!$A$1:$D$98,4,FALSE),0)</f>
        <v>1</v>
      </c>
      <c r="U25" s="12">
        <f t="shared" si="0"/>
        <v>1.4305999999999999</v>
      </c>
      <c r="V25" s="12">
        <f>IFERROR(VLOOKUP($D25,Total_DU!$B$5:$Z$174,22,0),0)</f>
        <v>0</v>
      </c>
      <c r="W25" s="12">
        <f>IFERROR(VLOOKUP($D25,Total_DU!$B$5:$Z$174,23,0),0)</f>
        <v>0</v>
      </c>
      <c r="X25" s="12">
        <f>IFERROR(VLOOKUP($D25,Total_DU!$B$5:$Z$174,24,0),0)</f>
        <v>0</v>
      </c>
      <c r="Y25" s="12">
        <f>IFERROR(VLOOKUP($D25,Total_DU!$B$5:$Z$174,25,0),0)</f>
        <v>0</v>
      </c>
      <c r="Z25" s="12">
        <f>IFERROR(VLOOKUP($D25,Population!$B$5:$Y$174,21,FALSE),0)</f>
        <v>0</v>
      </c>
      <c r="AA25" s="12">
        <f>IFERROR(VLOOKUP($D25,Population!$B$5:$Y$174,22,FALSE),0)</f>
        <v>0</v>
      </c>
      <c r="AB25" s="12">
        <f>IFERROR(VLOOKUP($D25,Population!$B$5:$Y$174,23,FALSE),0)</f>
        <v>0</v>
      </c>
      <c r="AC25" s="12">
        <f>IFERROR(VLOOKUP($D25,Population!$B$5:$Y$174,24,FALSE),0)</f>
        <v>0</v>
      </c>
    </row>
    <row r="26" spans="1:29" ht="15" x14ac:dyDescent="0.25">
      <c r="A26" s="11" t="s">
        <v>24</v>
      </c>
      <c r="B26" s="11" t="s">
        <v>511</v>
      </c>
      <c r="C26" s="11" t="s">
        <v>7</v>
      </c>
      <c r="D26" s="11">
        <v>6691</v>
      </c>
      <c r="E26" s="11">
        <v>2022</v>
      </c>
      <c r="F26" s="12">
        <f>VLOOKUP($D26,'2022Data to Complete Appendix C'!$C$8:$Q$313,2,FALSE)</f>
        <v>1422</v>
      </c>
      <c r="G26" s="12">
        <f>VLOOKUP($D26,'2022Data to Complete Appendix C'!$C$8:$Q$313,3,FALSE)</f>
        <v>664</v>
      </c>
      <c r="H26" s="12">
        <f>VLOOKUP($D26,'2022Data to Complete Appendix C'!$C$8:$Q$313,4,FALSE)</f>
        <v>0</v>
      </c>
      <c r="I26" s="12">
        <f>VLOOKUP($D26,'2022Data to Complete Appendix C'!$C$8:$Q$313,5,FALSE)</f>
        <v>744</v>
      </c>
      <c r="J26" s="114">
        <f>VLOOKUP($D26,'2022Data to Complete Appendix C'!$C$8:$Q$313,6,FALSE)</f>
        <v>2.1415700000000002</v>
      </c>
      <c r="K26" s="114">
        <f>VLOOKUP($D26,'2022Data to Complete Appendix C'!$C$8:$Q$313,7,FALSE)</f>
        <v>1.95</v>
      </c>
      <c r="L26" s="114">
        <f>VLOOKUP($D26,'2022Data to Complete Appendix C'!$C$8:$Q$313,8,FALSE)</f>
        <v>1.0959399999999999</v>
      </c>
      <c r="M26" s="12">
        <f>VLOOKUP($D26,'2022Data to Complete Appendix C'!$C$8:$Q$313,9,FALSE)</f>
        <v>69.9602</v>
      </c>
      <c r="N26" s="114">
        <f>VLOOKUP($D26,'2022Data to Complete Appendix C'!$C$8:$Q$313,10,FALSE)</f>
        <v>9.5318799999999995E-2</v>
      </c>
      <c r="O26" s="115">
        <f>VLOOKUP($D26,'2022Data to Complete Appendix C'!$C$8:$Q$313,11,FALSE)</f>
        <v>0.56699999999999995</v>
      </c>
      <c r="P26" s="115">
        <f>VLOOKUP($D26,'2022Data to Complete Appendix C'!$C$8:$Q$313,12,FALSE)</f>
        <v>0.772675</v>
      </c>
      <c r="Q26" s="115">
        <f>VLOOKUP($D26,'2022Data to Complete Appendix C'!$C$8:$Q$313,13,FALSE)</f>
        <v>0.622</v>
      </c>
      <c r="R26" s="114">
        <f>VLOOKUP($D26,'2022Data to Complete Appendix C'!$C$8:$Q$313,14,FALSE)</f>
        <v>2.2999999999999998</v>
      </c>
      <c r="S26" s="115">
        <f>VLOOKUP($D26,'2022Data to Complete Appendix C'!$C$8:$Q$313,15,FALSE)</f>
        <v>-0.27404600000000001</v>
      </c>
      <c r="T26" s="12">
        <f>IFERROR(VLOOKUP($D26,'2022LodgingbyWUP'!$A$1:$D$98,4,FALSE),0)</f>
        <v>0</v>
      </c>
      <c r="U26" s="12">
        <f t="shared" si="0"/>
        <v>0</v>
      </c>
      <c r="V26" s="12">
        <f>IFERROR(VLOOKUP($D26,Total_DU!$B$5:$Z$174,22,0),0)</f>
        <v>277</v>
      </c>
      <c r="W26" s="12">
        <f>IFERROR(VLOOKUP($D26,Total_DU!$B$5:$Z$174,23,0),0)</f>
        <v>278</v>
      </c>
      <c r="X26" s="12">
        <f>IFERROR(VLOOKUP($D26,Total_DU!$B$5:$Z$174,24,0),0)</f>
        <v>281</v>
      </c>
      <c r="Y26" s="12">
        <f>IFERROR(VLOOKUP($D26,Total_DU!$B$5:$Z$174,25,0),0)</f>
        <v>283</v>
      </c>
      <c r="Z26" s="12">
        <f>IFERROR(VLOOKUP($D26,Population!$B$5:$Y$174,21,FALSE),0)</f>
        <v>576.45208842337252</v>
      </c>
      <c r="AA26" s="12">
        <f>IFERROR(VLOOKUP($D26,Population!$B$5:$Y$174,22,FALSE),0)</f>
        <v>578.53325628894856</v>
      </c>
      <c r="AB26" s="12">
        <f>IFERROR(VLOOKUP($D26,Population!$B$5:$Y$174,23,FALSE),0)</f>
        <v>584.77641873849348</v>
      </c>
      <c r="AC26" s="12">
        <f>IFERROR(VLOOKUP($D26,Population!$B$5:$Y$174,24,FALSE),0)</f>
        <v>589</v>
      </c>
    </row>
    <row r="27" spans="1:29" ht="15" x14ac:dyDescent="0.25">
      <c r="A27" s="2" t="s">
        <v>24</v>
      </c>
      <c r="B27" s="2" t="s">
        <v>512</v>
      </c>
      <c r="C27" s="2" t="s">
        <v>52</v>
      </c>
      <c r="D27" s="2">
        <v>7121</v>
      </c>
      <c r="E27" s="11">
        <v>2022</v>
      </c>
      <c r="F27" s="12">
        <f>VLOOKUP($D27,'2022Data to Complete Appendix C'!$C$8:$Q$313,2,FALSE)</f>
        <v>26524</v>
      </c>
      <c r="G27" s="12">
        <f>VLOOKUP($D27,'2022Data to Complete Appendix C'!$C$8:$Q$313,3,FALSE)</f>
        <v>12414</v>
      </c>
      <c r="H27" s="12">
        <f>VLOOKUP($D27,'2022Data to Complete Appendix C'!$C$8:$Q$313,4,FALSE)</f>
        <v>1152</v>
      </c>
      <c r="I27" s="12">
        <f>VLOOKUP($D27,'2022Data to Complete Appendix C'!$C$8:$Q$313,5,FALSE)</f>
        <v>15021</v>
      </c>
      <c r="J27" s="114">
        <f>VLOOKUP($D27,'2022Data to Complete Appendix C'!$C$8:$Q$313,6,FALSE)</f>
        <v>2.1366200000000002</v>
      </c>
      <c r="K27" s="114">
        <f>VLOOKUP($D27,'2022Data to Complete Appendix C'!$C$8:$Q$313,7,FALSE)</f>
        <v>1.95</v>
      </c>
      <c r="L27" s="114">
        <f>VLOOKUP($D27,'2022Data to Complete Appendix C'!$C$8:$Q$313,8,FALSE)</f>
        <v>1.08111</v>
      </c>
      <c r="M27" s="12">
        <f>VLOOKUP($D27,'2022Data to Complete Appendix C'!$C$8:$Q$313,9,FALSE)</f>
        <v>1103.21</v>
      </c>
      <c r="N27" s="114">
        <f>VLOOKUP($D27,'2022Data to Complete Appendix C'!$C$8:$Q$313,10,FALSE)</f>
        <v>8.1615099999999996E-2</v>
      </c>
      <c r="O27" s="115">
        <f>VLOOKUP($D27,'2022Data to Complete Appendix C'!$C$8:$Q$313,11,FALSE)</f>
        <v>0.56699999999999995</v>
      </c>
      <c r="P27" s="115">
        <f>VLOOKUP($D27,'2022Data to Complete Appendix C'!$C$8:$Q$313,12,FALSE)</f>
        <v>0.772675</v>
      </c>
      <c r="Q27" s="115">
        <f>VLOOKUP($D27,'2022Data to Complete Appendix C'!$C$8:$Q$313,13,FALSE)</f>
        <v>0.622</v>
      </c>
      <c r="R27" s="114">
        <f>VLOOKUP($D27,'2022Data to Complete Appendix C'!$C$8:$Q$313,14,FALSE)</f>
        <v>2.2999999999999998</v>
      </c>
      <c r="S27" s="115">
        <f>VLOOKUP($D27,'2022Data to Complete Appendix C'!$C$8:$Q$313,15,FALSE)</f>
        <v>0.17067599999999999</v>
      </c>
      <c r="T27" s="12">
        <f>IFERROR(VLOOKUP($D27,'2022LodgingbyWUP'!$A$1:$D$98,4,FALSE),0)</f>
        <v>130</v>
      </c>
      <c r="U27" s="12">
        <f t="shared" si="0"/>
        <v>185.97799999999998</v>
      </c>
      <c r="V27" s="12">
        <f>IFERROR(VLOOKUP($D27,Total_DU!$B$5:$Z$174,22,0),0)</f>
        <v>11134</v>
      </c>
      <c r="W27" s="12">
        <f>IFERROR(VLOOKUP($D27,Total_DU!$B$5:$Z$174,23,0),0)</f>
        <v>11350</v>
      </c>
      <c r="X27" s="12">
        <f>IFERROR(VLOOKUP($D27,Total_DU!$B$5:$Z$174,24,0),0)</f>
        <v>11816</v>
      </c>
      <c r="Y27" s="12">
        <f>IFERROR(VLOOKUP($D27,Total_DU!$B$5:$Z$174,25,0),0)</f>
        <v>12876</v>
      </c>
      <c r="Z27" s="12">
        <f>IFERROR(VLOOKUP($D27,Population!$B$5:$Y$174,21,FALSE),0)</f>
        <v>25035.471265444394</v>
      </c>
      <c r="AA27" s="12">
        <f>IFERROR(VLOOKUP($D27,Population!$B$5:$Y$174,22,FALSE),0)</f>
        <v>25232.167989775837</v>
      </c>
      <c r="AB27" s="12">
        <f>IFERROR(VLOOKUP($D27,Population!$B$5:$Y$174,23,FALSE),0)</f>
        <v>26241.129516884212</v>
      </c>
      <c r="AC27" s="12">
        <f>IFERROR(VLOOKUP($D27,Population!$B$5:$Y$174,24,FALSE),0)</f>
        <v>28550</v>
      </c>
    </row>
    <row r="28" spans="1:29" ht="15" x14ac:dyDescent="0.25">
      <c r="A28" s="11" t="s">
        <v>24</v>
      </c>
      <c r="B28" s="11" t="s">
        <v>513</v>
      </c>
      <c r="C28" s="11" t="s">
        <v>52</v>
      </c>
      <c r="D28" s="11">
        <v>7295</v>
      </c>
      <c r="E28" s="11">
        <v>2022</v>
      </c>
      <c r="F28" s="12">
        <f>VLOOKUP($D28,'2022Data to Complete Appendix C'!$C$8:$Q$313,2,FALSE)</f>
        <v>283</v>
      </c>
      <c r="G28" s="12">
        <f>VLOOKUP($D28,'2022Data to Complete Appendix C'!$C$8:$Q$313,3,FALSE)</f>
        <v>135</v>
      </c>
      <c r="H28" s="12">
        <f>VLOOKUP($D28,'2022Data to Complete Appendix C'!$C$8:$Q$313,4,FALSE)</f>
        <v>0</v>
      </c>
      <c r="I28" s="12">
        <f>VLOOKUP($D28,'2022Data to Complete Appendix C'!$C$8:$Q$313,5,FALSE)</f>
        <v>177</v>
      </c>
      <c r="J28" s="114">
        <f>VLOOKUP($D28,'2022Data to Complete Appendix C'!$C$8:$Q$313,6,FALSE)</f>
        <v>2.0962999999999998</v>
      </c>
      <c r="K28" s="114">
        <f>VLOOKUP($D28,'2022Data to Complete Appendix C'!$C$8:$Q$313,7,FALSE)</f>
        <v>1.95</v>
      </c>
      <c r="L28" s="114">
        <f>VLOOKUP($D28,'2022Data to Complete Appendix C'!$C$8:$Q$313,8,FALSE)</f>
        <v>1.0800099999999999</v>
      </c>
      <c r="M28" s="12">
        <f>VLOOKUP($D28,'2022Data to Complete Appendix C'!$C$8:$Q$313,9,FALSE)</f>
        <v>11.6119</v>
      </c>
      <c r="N28" s="114">
        <f>VLOOKUP($D28,'2022Data to Complete Appendix C'!$C$8:$Q$313,10,FALSE)</f>
        <v>7.9201300000000002E-2</v>
      </c>
      <c r="O28" s="115">
        <f>VLOOKUP($D28,'2022Data to Complete Appendix C'!$C$8:$Q$313,11,FALSE)</f>
        <v>0.56699999999999995</v>
      </c>
      <c r="P28" s="115">
        <f>VLOOKUP($D28,'2022Data to Complete Appendix C'!$C$8:$Q$313,12,FALSE)</f>
        <v>0.772675</v>
      </c>
      <c r="Q28" s="115">
        <f>VLOOKUP($D28,'2022Data to Complete Appendix C'!$C$8:$Q$313,13,FALSE)</f>
        <v>0.622</v>
      </c>
      <c r="R28" s="114">
        <f>VLOOKUP($D28,'2022Data to Complete Appendix C'!$C$8:$Q$313,14,FALSE)</f>
        <v>2.2999999999999998</v>
      </c>
      <c r="S28" s="115">
        <f>VLOOKUP($D28,'2022Data to Complete Appendix C'!$C$8:$Q$313,15,FALSE)</f>
        <v>1.10524</v>
      </c>
      <c r="T28" s="12">
        <f>IFERROR(VLOOKUP($D28,'2022LodgingbyWUP'!$A$1:$D$98,4,FALSE),0)</f>
        <v>0</v>
      </c>
      <c r="U28" s="12">
        <f t="shared" si="0"/>
        <v>0</v>
      </c>
      <c r="V28" s="12">
        <f>IFERROR(VLOOKUP($D28,Total_DU!$B$5:$Z$174,22,0),0)</f>
        <v>0</v>
      </c>
      <c r="W28" s="12">
        <f>IFERROR(VLOOKUP($D28,Total_DU!$B$5:$Z$174,23,0),0)</f>
        <v>0</v>
      </c>
      <c r="X28" s="12">
        <f>IFERROR(VLOOKUP($D28,Total_DU!$B$5:$Z$174,24,0),0)</f>
        <v>0</v>
      </c>
      <c r="Y28" s="12">
        <f>IFERROR(VLOOKUP($D28,Total_DU!$B$5:$Z$174,25,0),0)</f>
        <v>0</v>
      </c>
      <c r="Z28" s="12">
        <f>IFERROR(VLOOKUP($D28,Population!$B$5:$Y$174,21,FALSE),0)</f>
        <v>0</v>
      </c>
      <c r="AA28" s="12">
        <f>IFERROR(VLOOKUP($D28,Population!$B$5:$Y$174,22,FALSE),0)</f>
        <v>0</v>
      </c>
      <c r="AB28" s="12">
        <f>IFERROR(VLOOKUP($D28,Population!$B$5:$Y$174,23,FALSE),0)</f>
        <v>0</v>
      </c>
      <c r="AC28" s="12">
        <f>IFERROR(VLOOKUP($D28,Population!$B$5:$Y$174,24,FALSE),0)</f>
        <v>0</v>
      </c>
    </row>
    <row r="29" spans="1:29" ht="15" x14ac:dyDescent="0.25">
      <c r="A29" s="2" t="s">
        <v>24</v>
      </c>
      <c r="B29" s="2" t="s">
        <v>514</v>
      </c>
      <c r="C29" s="2" t="s">
        <v>52</v>
      </c>
      <c r="D29" s="2">
        <v>7879</v>
      </c>
      <c r="E29" s="11">
        <v>2022</v>
      </c>
      <c r="F29" s="12">
        <f>VLOOKUP($D29,'2022Data to Complete Appendix C'!$C$8:$Q$313,2,FALSE)</f>
        <v>671</v>
      </c>
      <c r="G29" s="12">
        <f>VLOOKUP($D29,'2022Data to Complete Appendix C'!$C$8:$Q$313,3,FALSE)</f>
        <v>273</v>
      </c>
      <c r="H29" s="12">
        <f>VLOOKUP($D29,'2022Data to Complete Appendix C'!$C$8:$Q$313,4,FALSE)</f>
        <v>0</v>
      </c>
      <c r="I29" s="12">
        <f>VLOOKUP($D29,'2022Data to Complete Appendix C'!$C$8:$Q$313,5,FALSE)</f>
        <v>303</v>
      </c>
      <c r="J29" s="114">
        <f>VLOOKUP($D29,'2022Data to Complete Appendix C'!$C$8:$Q$313,6,FALSE)</f>
        <v>2.4578799999999998</v>
      </c>
      <c r="K29" s="114">
        <f>VLOOKUP($D29,'2022Data to Complete Appendix C'!$C$8:$Q$313,7,FALSE)</f>
        <v>1.95</v>
      </c>
      <c r="L29" s="114">
        <f>VLOOKUP($D29,'2022Data to Complete Appendix C'!$C$8:$Q$313,8,FALSE)</f>
        <v>1.1883600000000001</v>
      </c>
      <c r="M29" s="12">
        <f>VLOOKUP($D29,'2022Data to Complete Appendix C'!$C$8:$Q$313,9,FALSE)</f>
        <v>64.816900000000004</v>
      </c>
      <c r="N29" s="114">
        <f>VLOOKUP($D29,'2022Data to Complete Appendix C'!$C$8:$Q$313,10,FALSE)</f>
        <v>0.19187000000000001</v>
      </c>
      <c r="O29" s="115">
        <f>VLOOKUP($D29,'2022Data to Complete Appendix C'!$C$8:$Q$313,11,FALSE)</f>
        <v>0.56699999999999995</v>
      </c>
      <c r="P29" s="115">
        <f>VLOOKUP($D29,'2022Data to Complete Appendix C'!$C$8:$Q$313,12,FALSE)</f>
        <v>0.772675</v>
      </c>
      <c r="Q29" s="115">
        <f>VLOOKUP($D29,'2022Data to Complete Appendix C'!$C$8:$Q$313,13,FALSE)</f>
        <v>0.622</v>
      </c>
      <c r="R29" s="114">
        <f>VLOOKUP($D29,'2022Data to Complete Appendix C'!$C$8:$Q$313,14,FALSE)</f>
        <v>2.2999999999999998</v>
      </c>
      <c r="S29" s="115">
        <f>VLOOKUP($D29,'2022Data to Complete Appendix C'!$C$8:$Q$313,15,FALSE)</f>
        <v>-0.70616400000000001</v>
      </c>
      <c r="T29" s="12">
        <f>IFERROR(VLOOKUP($D29,'2022LodgingbyWUP'!$A$1:$D$98,4,FALSE),0)</f>
        <v>0</v>
      </c>
      <c r="U29" s="12">
        <f t="shared" si="0"/>
        <v>0</v>
      </c>
      <c r="V29" s="12">
        <f>IFERROR(VLOOKUP($D29,Total_DU!$B$5:$Z$174,22,0),0)</f>
        <v>0</v>
      </c>
      <c r="W29" s="12">
        <f>IFERROR(VLOOKUP($D29,Total_DU!$B$5:$Z$174,23,0),0)</f>
        <v>0</v>
      </c>
      <c r="X29" s="12">
        <f>IFERROR(VLOOKUP($D29,Total_DU!$B$5:$Z$174,24,0),0)</f>
        <v>0</v>
      </c>
      <c r="Y29" s="12">
        <f>IFERROR(VLOOKUP($D29,Total_DU!$B$5:$Z$174,25,0),0)</f>
        <v>0</v>
      </c>
      <c r="Z29" s="12">
        <f>IFERROR(VLOOKUP($D29,Population!$B$5:$Y$174,21,FALSE),0)</f>
        <v>0</v>
      </c>
      <c r="AA29" s="12">
        <f>IFERROR(VLOOKUP($D29,Population!$B$5:$Y$174,22,FALSE),0)</f>
        <v>0</v>
      </c>
      <c r="AB29" s="12">
        <f>IFERROR(VLOOKUP($D29,Population!$B$5:$Y$174,23,FALSE),0)</f>
        <v>0</v>
      </c>
      <c r="AC29" s="12">
        <f>IFERROR(VLOOKUP($D29,Population!$B$5:$Y$174,24,FALSE),0)</f>
        <v>0</v>
      </c>
    </row>
    <row r="30" spans="1:29" ht="15" x14ac:dyDescent="0.25">
      <c r="A30" s="11" t="s">
        <v>24</v>
      </c>
      <c r="B30" s="11" t="s">
        <v>515</v>
      </c>
      <c r="C30" s="11" t="s">
        <v>132</v>
      </c>
      <c r="D30" s="11">
        <v>8147</v>
      </c>
      <c r="E30" s="11">
        <v>2022</v>
      </c>
      <c r="F30" s="12">
        <f>VLOOKUP($D30,'2022Data to Complete Appendix C'!$C$8:$Q$313,2,FALSE)</f>
        <v>919</v>
      </c>
      <c r="G30" s="12">
        <f>VLOOKUP($D30,'2022Data to Complete Appendix C'!$C$8:$Q$313,3,FALSE)</f>
        <v>484</v>
      </c>
      <c r="H30" s="12">
        <f>VLOOKUP($D30,'2022Data to Complete Appendix C'!$C$8:$Q$313,4,FALSE)</f>
        <v>0</v>
      </c>
      <c r="I30" s="12">
        <f>VLOOKUP($D30,'2022Data to Complete Appendix C'!$C$8:$Q$313,5,FALSE)</f>
        <v>710</v>
      </c>
      <c r="J30" s="114">
        <f>VLOOKUP($D30,'2022Data to Complete Appendix C'!$C$8:$Q$313,6,FALSE)</f>
        <v>1.89876</v>
      </c>
      <c r="K30" s="114">
        <f>VLOOKUP($D30,'2022Data to Complete Appendix C'!$C$8:$Q$313,7,FALSE)</f>
        <v>1.95</v>
      </c>
      <c r="L30" s="114">
        <f>VLOOKUP($D30,'2022Data to Complete Appendix C'!$C$8:$Q$313,8,FALSE)</f>
        <v>1.10314</v>
      </c>
      <c r="M30" s="12">
        <f>VLOOKUP($D30,'2022Data to Complete Appendix C'!$C$8:$Q$313,9,FALSE)</f>
        <v>48.607999999999997</v>
      </c>
      <c r="N30" s="114">
        <f>VLOOKUP($D30,'2022Data to Complete Appendix C'!$C$8:$Q$313,10,FALSE)</f>
        <v>9.1264200000000004E-2</v>
      </c>
      <c r="O30" s="115">
        <f>VLOOKUP($D30,'2022Data to Complete Appendix C'!$C$8:$Q$313,11,FALSE)</f>
        <v>0.56699999999999995</v>
      </c>
      <c r="P30" s="115">
        <f>VLOOKUP($D30,'2022Data to Complete Appendix C'!$C$8:$Q$313,12,FALSE)</f>
        <v>0.772675</v>
      </c>
      <c r="Q30" s="115">
        <f>VLOOKUP($D30,'2022Data to Complete Appendix C'!$C$8:$Q$313,13,FALSE)</f>
        <v>0.622</v>
      </c>
      <c r="R30" s="114">
        <f>VLOOKUP($D30,'2022Data to Complete Appendix C'!$C$8:$Q$313,14,FALSE)</f>
        <v>2.2999999999999998</v>
      </c>
      <c r="S30" s="115">
        <f>VLOOKUP($D30,'2022Data to Complete Appendix C'!$C$8:$Q$313,15,FALSE)</f>
        <v>-9.3794100000000005E-2</v>
      </c>
      <c r="T30" s="12">
        <f>IFERROR(VLOOKUP($D30,'2022LodgingbyWUP'!$A$1:$D$98,4,FALSE),0)</f>
        <v>0</v>
      </c>
      <c r="U30" s="12">
        <f t="shared" si="0"/>
        <v>0</v>
      </c>
      <c r="V30" s="12">
        <f>IFERROR(VLOOKUP($D30,Total_DU!$B$5:$Z$174,22,0),0)</f>
        <v>0</v>
      </c>
      <c r="W30" s="12">
        <f>IFERROR(VLOOKUP($D30,Total_DU!$B$5:$Z$174,23,0),0)</f>
        <v>0</v>
      </c>
      <c r="X30" s="12">
        <f>IFERROR(VLOOKUP($D30,Total_DU!$B$5:$Z$174,24,0),0)</f>
        <v>0</v>
      </c>
      <c r="Y30" s="12">
        <f>IFERROR(VLOOKUP($D30,Total_DU!$B$5:$Z$174,25,0),0)</f>
        <v>0</v>
      </c>
      <c r="Z30" s="12">
        <f>IFERROR(VLOOKUP($D30,Population!$B$5:$Y$174,21,FALSE),0)</f>
        <v>0</v>
      </c>
      <c r="AA30" s="12">
        <f>IFERROR(VLOOKUP($D30,Population!$B$5:$Y$174,22,FALSE),0)</f>
        <v>0</v>
      </c>
      <c r="AB30" s="12">
        <f>IFERROR(VLOOKUP($D30,Population!$B$5:$Y$174,23,FALSE),0)</f>
        <v>0</v>
      </c>
      <c r="AC30" s="12">
        <f>IFERROR(VLOOKUP($D30,Population!$B$5:$Y$174,24,FALSE),0)</f>
        <v>0</v>
      </c>
    </row>
    <row r="31" spans="1:29" ht="15" x14ac:dyDescent="0.25">
      <c r="A31" s="2" t="s">
        <v>24</v>
      </c>
      <c r="B31" s="2" t="s">
        <v>516</v>
      </c>
      <c r="C31" s="2" t="s">
        <v>160</v>
      </c>
      <c r="D31" s="2">
        <v>9097</v>
      </c>
      <c r="E31" s="11">
        <v>2022</v>
      </c>
      <c r="F31" s="12">
        <f>VLOOKUP($D31,'2022Data to Complete Appendix C'!$C$8:$Q$313,2,FALSE)</f>
        <v>488</v>
      </c>
      <c r="G31" s="12">
        <f>VLOOKUP($D31,'2022Data to Complete Appendix C'!$C$8:$Q$313,3,FALSE)</f>
        <v>207</v>
      </c>
      <c r="H31" s="12">
        <f>VLOOKUP($D31,'2022Data to Complete Appendix C'!$C$8:$Q$313,4,FALSE)</f>
        <v>0</v>
      </c>
      <c r="I31" s="12">
        <f>VLOOKUP($D31,'2022Data to Complete Appendix C'!$C$8:$Q$313,5,FALSE)</f>
        <v>245</v>
      </c>
      <c r="J31" s="114">
        <f>VLOOKUP($D31,'2022Data to Complete Appendix C'!$C$8:$Q$313,6,FALSE)</f>
        <v>2.3574899999999999</v>
      </c>
      <c r="K31" s="114">
        <f>VLOOKUP($D31,'2022Data to Complete Appendix C'!$C$8:$Q$313,7,FALSE)</f>
        <v>1.95</v>
      </c>
      <c r="L31" s="114">
        <f>VLOOKUP($D31,'2022Data to Complete Appendix C'!$C$8:$Q$313,8,FALSE)</f>
        <v>1.1883600000000001</v>
      </c>
      <c r="M31" s="12">
        <f>VLOOKUP($D31,'2022Data to Complete Appendix C'!$C$8:$Q$313,9,FALSE)</f>
        <v>47.139499999999998</v>
      </c>
      <c r="N31" s="114">
        <f>VLOOKUP($D31,'2022Data to Complete Appendix C'!$C$8:$Q$313,10,FALSE)</f>
        <v>0.18548700000000001</v>
      </c>
      <c r="O31" s="115">
        <f>VLOOKUP($D31,'2022Data to Complete Appendix C'!$C$8:$Q$313,11,FALSE)</f>
        <v>0.56699999999999995</v>
      </c>
      <c r="P31" s="115">
        <f>VLOOKUP($D31,'2022Data to Complete Appendix C'!$C$8:$Q$313,12,FALSE)</f>
        <v>0.772675</v>
      </c>
      <c r="Q31" s="115">
        <f>VLOOKUP($D31,'2022Data to Complete Appendix C'!$C$8:$Q$313,13,FALSE)</f>
        <v>0.622</v>
      </c>
      <c r="R31" s="114">
        <f>VLOOKUP($D31,'2022Data to Complete Appendix C'!$C$8:$Q$313,14,FALSE)</f>
        <v>2.2999999999999998</v>
      </c>
      <c r="S31" s="115">
        <f>VLOOKUP($D31,'2022Data to Complete Appendix C'!$C$8:$Q$313,15,FALSE)</f>
        <v>-0.70616400000000001</v>
      </c>
      <c r="T31" s="12">
        <f>IFERROR(VLOOKUP($D31,'2022LodgingbyWUP'!$A$1:$D$98,4,FALSE),0)</f>
        <v>0</v>
      </c>
      <c r="U31" s="12">
        <f t="shared" si="0"/>
        <v>0</v>
      </c>
      <c r="V31" s="12" t="str">
        <f>IFERROR(VLOOKUP($D31,Total_DU!$B$5:$Z$174,22,0),0)</f>
        <v>NA</v>
      </c>
      <c r="W31" s="12" t="str">
        <f>IFERROR(VLOOKUP($D31,Total_DU!$B$5:$Z$174,23,0),0)</f>
        <v>NA</v>
      </c>
      <c r="X31" s="12">
        <f>IFERROR(VLOOKUP($D31,Total_DU!$B$5:$Z$174,24,0),0)</f>
        <v>72</v>
      </c>
      <c r="Y31" s="12">
        <f>IFERROR(VLOOKUP($D31,Total_DU!$B$5:$Z$174,25,0),0)</f>
        <v>73</v>
      </c>
      <c r="Z31" s="12">
        <f>IFERROR(VLOOKUP($D31,Population!$B$5:$Y$174,21,FALSE),0)</f>
        <v>0</v>
      </c>
      <c r="AA31" s="12" t="str">
        <f>IFERROR(VLOOKUP($D31,Population!$B$5:$Y$174,22,FALSE),0)</f>
        <v>NA</v>
      </c>
      <c r="AB31" s="12">
        <f>IFERROR(VLOOKUP($D31,Population!$B$5:$Y$174,23,FALSE),0)</f>
        <v>158.37739111786871</v>
      </c>
      <c r="AC31" s="12">
        <f>IFERROR(VLOOKUP($D31,Population!$B$5:$Y$174,24,FALSE),0)</f>
        <v>161</v>
      </c>
    </row>
    <row r="32" spans="1:29" ht="15" x14ac:dyDescent="0.25">
      <c r="A32" s="11" t="s">
        <v>24</v>
      </c>
      <c r="B32" s="11" t="s">
        <v>517</v>
      </c>
      <c r="C32" s="11" t="s">
        <v>40</v>
      </c>
      <c r="D32" s="11">
        <v>9532</v>
      </c>
      <c r="E32" s="11">
        <v>2022</v>
      </c>
      <c r="F32" s="12">
        <f>VLOOKUP($D32,'2022Data to Complete Appendix C'!$C$8:$Q$313,2,FALSE)</f>
        <v>177</v>
      </c>
      <c r="G32" s="12">
        <f>VLOOKUP($D32,'2022Data to Complete Appendix C'!$C$8:$Q$313,3,FALSE)</f>
        <v>105</v>
      </c>
      <c r="H32" s="12">
        <f>VLOOKUP($D32,'2022Data to Complete Appendix C'!$C$8:$Q$313,4,FALSE)</f>
        <v>0</v>
      </c>
      <c r="I32" s="12">
        <f>VLOOKUP($D32,'2022Data to Complete Appendix C'!$C$8:$Q$313,5,FALSE)</f>
        <v>213</v>
      </c>
      <c r="J32" s="114">
        <f>VLOOKUP($D32,'2022Data to Complete Appendix C'!$C$8:$Q$313,6,FALSE)</f>
        <v>1.68571</v>
      </c>
      <c r="K32" s="114">
        <f>VLOOKUP($D32,'2022Data to Complete Appendix C'!$C$8:$Q$313,7,FALSE)</f>
        <v>1.95</v>
      </c>
      <c r="L32" s="114">
        <f>VLOOKUP($D32,'2022Data to Complete Appendix C'!$C$8:$Q$313,8,FALSE)</f>
        <v>1.1088</v>
      </c>
      <c r="M32" s="12">
        <f>VLOOKUP($D32,'2022Data to Complete Appendix C'!$C$8:$Q$313,9,FALSE)</f>
        <v>9.8754200000000001</v>
      </c>
      <c r="N32" s="114">
        <f>VLOOKUP($D32,'2022Data to Complete Appendix C'!$C$8:$Q$313,10,FALSE)</f>
        <v>8.5966299999999995E-2</v>
      </c>
      <c r="O32" s="115">
        <f>VLOOKUP($D32,'2022Data to Complete Appendix C'!$C$8:$Q$313,11,FALSE)</f>
        <v>0.56699999999999995</v>
      </c>
      <c r="P32" s="115">
        <f>VLOOKUP($D32,'2022Data to Complete Appendix C'!$C$8:$Q$313,12,FALSE)</f>
        <v>0.772675</v>
      </c>
      <c r="Q32" s="115">
        <f>VLOOKUP($D32,'2022Data to Complete Appendix C'!$C$8:$Q$313,13,FALSE)</f>
        <v>0.622</v>
      </c>
      <c r="R32" s="114">
        <f>VLOOKUP($D32,'2022Data to Complete Appendix C'!$C$8:$Q$313,14,FALSE)</f>
        <v>2.2999999999999998</v>
      </c>
      <c r="S32" s="115">
        <f>VLOOKUP($D32,'2022Data to Complete Appendix C'!$C$8:$Q$313,15,FALSE)</f>
        <v>-0.30601400000000001</v>
      </c>
      <c r="T32" s="12">
        <f>IFERROR(VLOOKUP($D32,'2022LodgingbyWUP'!$A$1:$D$98,4,FALSE),0)</f>
        <v>0</v>
      </c>
      <c r="U32" s="12">
        <f t="shared" si="0"/>
        <v>0</v>
      </c>
      <c r="V32" s="12">
        <f>IFERROR(VLOOKUP($D32,Total_DU!$B$5:$Z$174,22,0),0)</f>
        <v>0</v>
      </c>
      <c r="W32" s="12">
        <f>IFERROR(VLOOKUP($D32,Total_DU!$B$5:$Z$174,23,0),0)</f>
        <v>0</v>
      </c>
      <c r="X32" s="12">
        <f>IFERROR(VLOOKUP($D32,Total_DU!$B$5:$Z$174,24,0),0)</f>
        <v>0</v>
      </c>
      <c r="Y32" s="12">
        <f>IFERROR(VLOOKUP($D32,Total_DU!$B$5:$Z$174,25,0),0)</f>
        <v>0</v>
      </c>
      <c r="Z32" s="12">
        <f>IFERROR(VLOOKUP($D32,Population!$B$5:$Y$174,21,FALSE),0)</f>
        <v>0</v>
      </c>
      <c r="AA32" s="12">
        <f>IFERROR(VLOOKUP($D32,Population!$B$5:$Y$174,22,FALSE),0)</f>
        <v>0</v>
      </c>
      <c r="AB32" s="12">
        <f>IFERROR(VLOOKUP($D32,Population!$B$5:$Y$174,23,FALSE),0)</f>
        <v>0</v>
      </c>
      <c r="AC32" s="12">
        <f>IFERROR(VLOOKUP($D32,Population!$B$5:$Y$174,24,FALSE),0)</f>
        <v>0</v>
      </c>
    </row>
    <row r="33" spans="1:29" ht="15" x14ac:dyDescent="0.25">
      <c r="A33" s="2" t="s">
        <v>24</v>
      </c>
      <c r="B33" s="2" t="s">
        <v>518</v>
      </c>
      <c r="C33" s="2" t="s">
        <v>52</v>
      </c>
      <c r="D33" s="2">
        <v>9791</v>
      </c>
      <c r="E33" s="11">
        <v>2022</v>
      </c>
      <c r="F33" s="12">
        <f>VLOOKUP($D33,'2022Data to Complete Appendix C'!$C$8:$Q$313,2,FALSE)</f>
        <v>10194</v>
      </c>
      <c r="G33" s="12">
        <f>VLOOKUP($D33,'2022Data to Complete Appendix C'!$C$8:$Q$313,3,FALSE)</f>
        <v>4899</v>
      </c>
      <c r="H33" s="12">
        <f>VLOOKUP($D33,'2022Data to Complete Appendix C'!$C$8:$Q$313,4,FALSE)</f>
        <v>0</v>
      </c>
      <c r="I33" s="12">
        <f>VLOOKUP($D33,'2022Data to Complete Appendix C'!$C$8:$Q$313,5,FALSE)</f>
        <v>5946</v>
      </c>
      <c r="J33" s="114">
        <f>VLOOKUP($D33,'2022Data to Complete Appendix C'!$C$8:$Q$313,6,FALSE)</f>
        <v>2.0808300000000002</v>
      </c>
      <c r="K33" s="114">
        <f>VLOOKUP($D33,'2022Data to Complete Appendix C'!$C$8:$Q$313,7,FALSE)</f>
        <v>1.95</v>
      </c>
      <c r="L33" s="114">
        <f>VLOOKUP($D33,'2022Data to Complete Appendix C'!$C$8:$Q$313,8,FALSE)</f>
        <v>1.08243</v>
      </c>
      <c r="M33" s="12">
        <f>VLOOKUP($D33,'2022Data to Complete Appendix C'!$C$8:$Q$313,9,FALSE)</f>
        <v>430.90800000000002</v>
      </c>
      <c r="N33" s="114">
        <f>VLOOKUP($D33,'2022Data to Complete Appendix C'!$C$8:$Q$313,10,FALSE)</f>
        <v>8.0847199999999994E-2</v>
      </c>
      <c r="O33" s="115">
        <f>VLOOKUP($D33,'2022Data to Complete Appendix C'!$C$8:$Q$313,11,FALSE)</f>
        <v>0.56699999999999995</v>
      </c>
      <c r="P33" s="115">
        <f>VLOOKUP($D33,'2022Data to Complete Appendix C'!$C$8:$Q$313,12,FALSE)</f>
        <v>0.772675</v>
      </c>
      <c r="Q33" s="115">
        <f>VLOOKUP($D33,'2022Data to Complete Appendix C'!$C$8:$Q$313,13,FALSE)</f>
        <v>0.622</v>
      </c>
      <c r="R33" s="114">
        <f>VLOOKUP($D33,'2022Data to Complete Appendix C'!$C$8:$Q$313,14,FALSE)</f>
        <v>2.2999999999999998</v>
      </c>
      <c r="S33" s="115">
        <f>VLOOKUP($D33,'2022Data to Complete Appendix C'!$C$8:$Q$313,15,FALSE)</f>
        <v>-0.245061</v>
      </c>
      <c r="T33" s="12">
        <f>IFERROR(VLOOKUP($D33,'2022LodgingbyWUP'!$A$1:$D$98,4,FALSE),0)</f>
        <v>14</v>
      </c>
      <c r="U33" s="12">
        <f t="shared" si="0"/>
        <v>20.028399999999998</v>
      </c>
      <c r="V33" s="12">
        <f>IFERROR(VLOOKUP($D33,Total_DU!$B$5:$Z$174,22,0),0)</f>
        <v>5894</v>
      </c>
      <c r="W33" s="12">
        <f>IFERROR(VLOOKUP($D33,Total_DU!$B$5:$Z$174,23,0),0)</f>
        <v>6103</v>
      </c>
      <c r="X33" s="12">
        <f>IFERROR(VLOOKUP($D33,Total_DU!$B$5:$Z$174,24,0),0)</f>
        <v>6381</v>
      </c>
      <c r="Y33" s="12">
        <f>IFERROR(VLOOKUP($D33,Total_DU!$B$5:$Z$174,25,0),0)</f>
        <v>7073</v>
      </c>
      <c r="Z33" s="12">
        <f>IFERROR(VLOOKUP($D33,Population!$B$5:$Y$174,21,FALSE),0)</f>
        <v>11998.298512350319</v>
      </c>
      <c r="AA33" s="12">
        <f>IFERROR(VLOOKUP($D33,Population!$B$5:$Y$174,22,FALSE),0)</f>
        <v>12433.86230282376</v>
      </c>
      <c r="AB33" s="12">
        <f>IFERROR(VLOOKUP($D33,Population!$B$5:$Y$174,23,FALSE),0)</f>
        <v>12999.473059699008</v>
      </c>
      <c r="AC33" s="12">
        <f>IFERROR(VLOOKUP($D33,Population!$B$5:$Y$174,24,FALSE),0)</f>
        <v>14405</v>
      </c>
    </row>
    <row r="34" spans="1:29" ht="15" x14ac:dyDescent="0.25">
      <c r="A34" s="11" t="s">
        <v>24</v>
      </c>
      <c r="B34" s="11" t="s">
        <v>519</v>
      </c>
      <c r="C34" s="11" t="s">
        <v>175</v>
      </c>
      <c r="D34" s="11">
        <v>11839</v>
      </c>
      <c r="E34" s="11">
        <v>2022</v>
      </c>
      <c r="F34" s="12">
        <f>VLOOKUP($D34,'2022Data to Complete Appendix C'!$C$8:$Q$313,2,FALSE)</f>
        <v>1105</v>
      </c>
      <c r="G34" s="12">
        <f>VLOOKUP($D34,'2022Data to Complete Appendix C'!$C$8:$Q$313,3,FALSE)</f>
        <v>554</v>
      </c>
      <c r="H34" s="12">
        <f>VLOOKUP($D34,'2022Data to Complete Appendix C'!$C$8:$Q$313,4,FALSE)</f>
        <v>0</v>
      </c>
      <c r="I34" s="12">
        <f>VLOOKUP($D34,'2022Data to Complete Appendix C'!$C$8:$Q$313,5,FALSE)</f>
        <v>646</v>
      </c>
      <c r="J34" s="114">
        <f>VLOOKUP($D34,'2022Data to Complete Appendix C'!$C$8:$Q$313,6,FALSE)</f>
        <v>1.99458</v>
      </c>
      <c r="K34" s="114">
        <f>VLOOKUP($D34,'2022Data to Complete Appendix C'!$C$8:$Q$313,7,FALSE)</f>
        <v>1.95</v>
      </c>
      <c r="L34" s="114">
        <f>VLOOKUP($D34,'2022Data to Complete Appendix C'!$C$8:$Q$313,8,FALSE)</f>
        <v>1.08243</v>
      </c>
      <c r="M34" s="12">
        <f>VLOOKUP($D34,'2022Data to Complete Appendix C'!$C$8:$Q$313,9,FALSE)</f>
        <v>46.709200000000003</v>
      </c>
      <c r="N34" s="114">
        <f>VLOOKUP($D34,'2022Data to Complete Appendix C'!$C$8:$Q$313,10,FALSE)</f>
        <v>7.7756800000000001E-2</v>
      </c>
      <c r="O34" s="115">
        <f>VLOOKUP($D34,'2022Data to Complete Appendix C'!$C$8:$Q$313,11,FALSE)</f>
        <v>0.56699999999999995</v>
      </c>
      <c r="P34" s="115">
        <f>VLOOKUP($D34,'2022Data to Complete Appendix C'!$C$8:$Q$313,12,FALSE)</f>
        <v>0.772675</v>
      </c>
      <c r="Q34" s="115">
        <f>VLOOKUP($D34,'2022Data to Complete Appendix C'!$C$8:$Q$313,13,FALSE)</f>
        <v>0.622</v>
      </c>
      <c r="R34" s="114">
        <f>VLOOKUP($D34,'2022Data to Complete Appendix C'!$C$8:$Q$313,14,FALSE)</f>
        <v>2.2999999999999998</v>
      </c>
      <c r="S34" s="115">
        <f>VLOOKUP($D34,'2022Data to Complete Appendix C'!$C$8:$Q$313,15,FALSE)</f>
        <v>-0.264936</v>
      </c>
      <c r="T34" s="12">
        <f>IFERROR(VLOOKUP($D34,'2022LodgingbyWUP'!$A$1:$D$98,4,FALSE),0)</f>
        <v>0</v>
      </c>
      <c r="U34" s="12">
        <f t="shared" si="0"/>
        <v>0</v>
      </c>
      <c r="V34" s="12">
        <f>IFERROR(VLOOKUP($D34,Total_DU!$B$5:$Z$174,22,0),0)</f>
        <v>522</v>
      </c>
      <c r="W34" s="12">
        <f>IFERROR(VLOOKUP($D34,Total_DU!$B$5:$Z$174,23,0),0)</f>
        <v>522</v>
      </c>
      <c r="X34" s="12">
        <f>IFERROR(VLOOKUP($D34,Total_DU!$B$5:$Z$174,24,0),0)</f>
        <v>522</v>
      </c>
      <c r="Y34" s="12">
        <f>IFERROR(VLOOKUP($D34,Total_DU!$B$5:$Z$174,25,0),0)</f>
        <v>522</v>
      </c>
      <c r="Z34" s="12">
        <f>IFERROR(VLOOKUP($D34,Population!$B$5:$Y$174,21,FALSE),0)</f>
        <v>1019</v>
      </c>
      <c r="AA34" s="12">
        <f>IFERROR(VLOOKUP($D34,Population!$B$5:$Y$174,22,FALSE),0)</f>
        <v>1021.3684265894041</v>
      </c>
      <c r="AB34" s="12">
        <f>IFERROR(VLOOKUP($D34,Population!$B$5:$Y$174,23,FALSE),0)</f>
        <v>1021.368440565181</v>
      </c>
      <c r="AC34" s="12">
        <f>IFERROR(VLOOKUP($D34,Population!$B$5:$Y$174,24,FALSE),0)</f>
        <v>1021</v>
      </c>
    </row>
    <row r="35" spans="1:29" ht="15" x14ac:dyDescent="0.25">
      <c r="A35" s="2" t="s">
        <v>24</v>
      </c>
      <c r="B35" s="2" t="s">
        <v>520</v>
      </c>
      <c r="C35" s="2" t="s">
        <v>478</v>
      </c>
      <c r="D35" s="2">
        <v>20230</v>
      </c>
      <c r="E35" s="11">
        <v>2022</v>
      </c>
      <c r="F35" s="12">
        <f>VLOOKUP($D35,'2022Data to Complete Appendix C'!$C$8:$Q$313,2,FALSE)</f>
        <v>3893</v>
      </c>
      <c r="G35" s="12">
        <f>VLOOKUP($D35,'2022Data to Complete Appendix C'!$C$8:$Q$313,3,FALSE)</f>
        <v>1952</v>
      </c>
      <c r="H35" s="12">
        <f>VLOOKUP($D35,'2022Data to Complete Appendix C'!$C$8:$Q$313,4,FALSE)</f>
        <v>0</v>
      </c>
      <c r="I35" s="12">
        <f>VLOOKUP($D35,'2022Data to Complete Appendix C'!$C$8:$Q$313,5,FALSE)</f>
        <v>2904</v>
      </c>
      <c r="J35" s="114">
        <f>VLOOKUP($D35,'2022Data to Complete Appendix C'!$C$8:$Q$313,6,FALSE)</f>
        <v>1.9943599999999999</v>
      </c>
      <c r="K35" s="114">
        <f>VLOOKUP($D35,'2022Data to Complete Appendix C'!$C$8:$Q$313,7,FALSE)</f>
        <v>1.95</v>
      </c>
      <c r="L35" s="114">
        <f>VLOOKUP($D35,'2022Data to Complete Appendix C'!$C$8:$Q$313,8,FALSE)</f>
        <v>1.07508</v>
      </c>
      <c r="M35" s="12">
        <f>VLOOKUP($D35,'2022Data to Complete Appendix C'!$C$8:$Q$313,9,FALSE)</f>
        <v>149.9</v>
      </c>
      <c r="N35" s="114">
        <f>VLOOKUP($D35,'2022Data to Complete Appendix C'!$C$8:$Q$313,10,FALSE)</f>
        <v>7.1316699999999997E-2</v>
      </c>
      <c r="O35" s="115">
        <f>VLOOKUP($D35,'2022Data to Complete Appendix C'!$C$8:$Q$313,11,FALSE)</f>
        <v>0.56699999999999995</v>
      </c>
      <c r="P35" s="115">
        <f>VLOOKUP($D35,'2022Data to Complete Appendix C'!$C$8:$Q$313,12,FALSE)</f>
        <v>0.772675</v>
      </c>
      <c r="Q35" s="115">
        <f>VLOOKUP($D35,'2022Data to Complete Appendix C'!$C$8:$Q$313,13,FALSE)</f>
        <v>0.622</v>
      </c>
      <c r="R35" s="114">
        <f>VLOOKUP($D35,'2022Data to Complete Appendix C'!$C$8:$Q$313,14,FALSE)</f>
        <v>2.2999999999999998</v>
      </c>
      <c r="S35" s="115">
        <f>VLOOKUP($D35,'2022Data to Complete Appendix C'!$C$8:$Q$313,15,FALSE)</f>
        <v>0.51644500000000004</v>
      </c>
      <c r="T35" s="12">
        <f>IFERROR(VLOOKUP($D35,'2022LodgingbyWUP'!$A$1:$D$98,4,FALSE),0)</f>
        <v>51</v>
      </c>
      <c r="U35" s="12">
        <f t="shared" si="0"/>
        <v>72.960599999999999</v>
      </c>
      <c r="V35" s="12">
        <f>IFERROR(VLOOKUP($D35,Total_DU!$B$5:$Z$174,22,0),0)</f>
        <v>2027</v>
      </c>
      <c r="W35" s="12">
        <f>IFERROR(VLOOKUP($D35,Total_DU!$B$5:$Z$174,23,0),0)</f>
        <v>2034</v>
      </c>
      <c r="X35" s="12">
        <f>IFERROR(VLOOKUP($D35,Total_DU!$B$5:$Z$174,24,0),0)</f>
        <v>2040</v>
      </c>
      <c r="Y35" s="12">
        <f>IFERROR(VLOOKUP($D35,Total_DU!$B$5:$Z$174,25,0),0)</f>
        <v>2053</v>
      </c>
      <c r="Z35" s="12">
        <f>IFERROR(VLOOKUP($D35,Population!$B$5:$Y$174,21,FALSE),0)</f>
        <v>4676</v>
      </c>
      <c r="AA35" s="12">
        <f>IFERROR(VLOOKUP($D35,Population!$B$5:$Y$174,22,FALSE),0)</f>
        <v>4764.3779065395465</v>
      </c>
      <c r="AB35" s="12">
        <f>IFERROR(VLOOKUP($D35,Population!$B$5:$Y$174,23,FALSE),0)</f>
        <v>4754.0141331993646</v>
      </c>
      <c r="AC35" s="12">
        <f>IFERROR(VLOOKUP($D35,Population!$B$5:$Y$174,24,FALSE),0)</f>
        <v>4739</v>
      </c>
    </row>
    <row r="36" spans="1:29" ht="15" x14ac:dyDescent="0.25">
      <c r="A36" s="11" t="s">
        <v>15</v>
      </c>
      <c r="B36" s="11" t="s">
        <v>521</v>
      </c>
      <c r="C36" s="11" t="s">
        <v>14</v>
      </c>
      <c r="D36" s="11">
        <v>4725</v>
      </c>
      <c r="E36" s="11">
        <v>2022</v>
      </c>
      <c r="F36" s="12">
        <f>VLOOKUP($D36,'2022Data to Complete Appendix C'!$C$8:$Q$313,2,FALSE)</f>
        <v>11856</v>
      </c>
      <c r="G36" s="12">
        <f>VLOOKUP($D36,'2022Data to Complete Appendix C'!$C$8:$Q$313,3,FALSE)</f>
        <v>4186</v>
      </c>
      <c r="H36" s="12">
        <f>VLOOKUP($D36,'2022Data to Complete Appendix C'!$C$8:$Q$313,4,FALSE)</f>
        <v>708</v>
      </c>
      <c r="I36" s="12">
        <f>VLOOKUP($D36,'2022Data to Complete Appendix C'!$C$8:$Q$313,5,FALSE)</f>
        <v>4981</v>
      </c>
      <c r="J36" s="114">
        <f>VLOOKUP($D36,'2022Data to Complete Appendix C'!$C$8:$Q$313,6,FALSE)</f>
        <v>2.8323</v>
      </c>
      <c r="K36" s="114">
        <f>VLOOKUP($D36,'2022Data to Complete Appendix C'!$C$8:$Q$313,7,FALSE)</f>
        <v>1.95</v>
      </c>
      <c r="L36" s="114">
        <f>VLOOKUP($D36,'2022Data to Complete Appendix C'!$C$8:$Q$313,8,FALSE)</f>
        <v>1.1179600000000001</v>
      </c>
      <c r="M36" s="12">
        <f>VLOOKUP($D36,'2022Data to Complete Appendix C'!$C$8:$Q$313,9,FALSE)</f>
        <v>717.21500000000003</v>
      </c>
      <c r="N36" s="114">
        <f>VLOOKUP($D36,'2022Data to Complete Appendix C'!$C$8:$Q$313,10,FALSE)</f>
        <v>0.14627399999999999</v>
      </c>
      <c r="O36" s="115">
        <f>VLOOKUP($D36,'2022Data to Complete Appendix C'!$C$8:$Q$313,11,FALSE)</f>
        <v>0.56699999999999995</v>
      </c>
      <c r="P36" s="115">
        <f>VLOOKUP($D36,'2022Data to Complete Appendix C'!$C$8:$Q$313,12,FALSE)</f>
        <v>0.772675</v>
      </c>
      <c r="Q36" s="115">
        <f>VLOOKUP($D36,'2022Data to Complete Appendix C'!$C$8:$Q$313,13,FALSE)</f>
        <v>0.54900000000000004</v>
      </c>
      <c r="R36" s="114">
        <f>VLOOKUP($D36,'2022Data to Complete Appendix C'!$C$8:$Q$313,14,FALSE)</f>
        <v>2.2999999999999998</v>
      </c>
      <c r="S36" s="115">
        <f>VLOOKUP($D36,'2022Data to Complete Appendix C'!$C$8:$Q$313,15,FALSE)</f>
        <v>-0.60567199999999999</v>
      </c>
      <c r="T36" s="12">
        <f>IFERROR(VLOOKUP($D36,'2022LodgingbyWUP'!$A$1:$D$98,4,FALSE),0)</f>
        <v>100</v>
      </c>
      <c r="U36" s="12">
        <f t="shared" si="0"/>
        <v>126.27000000000001</v>
      </c>
      <c r="V36" s="12">
        <f>IFERROR(VLOOKUP($D36,Total_DU!$B$5:$Z$174,22,0),0)</f>
        <v>3799</v>
      </c>
      <c r="W36" s="12">
        <f>IFERROR(VLOOKUP($D36,Total_DU!$B$5:$Z$174,23,0),0)</f>
        <v>3855</v>
      </c>
      <c r="X36" s="12">
        <f>IFERROR(VLOOKUP($D36,Total_DU!$B$5:$Z$174,24,0),0)</f>
        <v>4227</v>
      </c>
      <c r="Y36" s="12">
        <f>IFERROR(VLOOKUP($D36,Total_DU!$B$5:$Z$174,25,0),0)</f>
        <v>4319</v>
      </c>
      <c r="Z36" s="12">
        <f>IFERROR(VLOOKUP($D36,Population!$B$5:$Y$174,21,FALSE),0)</f>
        <v>10701.787661295793</v>
      </c>
      <c r="AA36" s="12">
        <f>IFERROR(VLOOKUP($D36,Population!$B$5:$Y$174,22,FALSE),0)</f>
        <v>10844.497136321563</v>
      </c>
      <c r="AB36" s="12">
        <f>IFERROR(VLOOKUP($D36,Population!$B$5:$Y$174,23,FALSE),0)</f>
        <v>11868.294486976434</v>
      </c>
      <c r="AC36" s="12">
        <f>IFERROR(VLOOKUP($D36,Population!$B$5:$Y$174,24,FALSE),0)</f>
        <v>12113</v>
      </c>
    </row>
    <row r="37" spans="1:29" ht="15" x14ac:dyDescent="0.25">
      <c r="A37" s="2" t="s">
        <v>15</v>
      </c>
      <c r="B37" s="2" t="s">
        <v>914</v>
      </c>
      <c r="C37" s="2" t="s">
        <v>102</v>
      </c>
      <c r="D37" s="2">
        <v>20457</v>
      </c>
      <c r="E37" s="11">
        <v>2022</v>
      </c>
      <c r="F37" s="12">
        <f>VLOOKUP($D37,'2022Data to Complete Appendix C'!$C$8:$Q$313,2,FALSE)</f>
        <v>11050</v>
      </c>
      <c r="G37" s="12">
        <f>VLOOKUP($D37,'2022Data to Complete Appendix C'!$C$8:$Q$313,3,FALSE)</f>
        <v>4752</v>
      </c>
      <c r="H37" s="12">
        <f>VLOOKUP($D37,'2022Data to Complete Appendix C'!$C$8:$Q$313,4,FALSE)</f>
        <v>387</v>
      </c>
      <c r="I37" s="12">
        <f>VLOOKUP($D37,'2022Data to Complete Appendix C'!$C$8:$Q$313,5,FALSE)</f>
        <v>6685</v>
      </c>
      <c r="J37" s="114">
        <f>VLOOKUP($D37,'2022Data to Complete Appendix C'!$C$8:$Q$313,6,FALSE)</f>
        <v>2.3253400000000002</v>
      </c>
      <c r="K37" s="114">
        <f>VLOOKUP($D37,'2022Data to Complete Appendix C'!$C$8:$Q$313,7,FALSE)</f>
        <v>1.95</v>
      </c>
      <c r="L37" s="114">
        <f>VLOOKUP($D37,'2022Data to Complete Appendix C'!$C$8:$Q$313,8,FALSE)</f>
        <v>1.4425699999999999</v>
      </c>
      <c r="M37" s="12">
        <f>VLOOKUP($D37,'2022Data to Complete Appendix C'!$C$8:$Q$313,9,FALSE)</f>
        <v>2507.92</v>
      </c>
      <c r="N37" s="114">
        <f>VLOOKUP($D37,'2022Data to Complete Appendix C'!$C$8:$Q$313,10,FALSE)</f>
        <v>0.345447</v>
      </c>
      <c r="O37" s="115">
        <f>VLOOKUP($D37,'2022Data to Complete Appendix C'!$C$8:$Q$313,11,FALSE)</f>
        <v>0.56699999999999995</v>
      </c>
      <c r="P37" s="115">
        <f>VLOOKUP($D37,'2022Data to Complete Appendix C'!$C$8:$Q$313,12,FALSE)</f>
        <v>0.772675</v>
      </c>
      <c r="Q37" s="115">
        <f>VLOOKUP($D37,'2022Data to Complete Appendix C'!$C$8:$Q$313,13,FALSE)</f>
        <v>0.54900000000000004</v>
      </c>
      <c r="R37" s="114">
        <f>VLOOKUP($D37,'2022Data to Complete Appendix C'!$C$8:$Q$313,14,FALSE)</f>
        <v>2.2999999999999998</v>
      </c>
      <c r="S37" s="115">
        <f>VLOOKUP($D37,'2022Data to Complete Appendix C'!$C$8:$Q$313,15,FALSE)</f>
        <v>-0.80090600000000001</v>
      </c>
      <c r="T37" s="12">
        <f>IFERROR(VLOOKUP($D37,'2022LodgingbyWUP'!$A$1:$D$98,4,FALSE),0)</f>
        <v>0</v>
      </c>
      <c r="U37" s="12">
        <f t="shared" si="0"/>
        <v>0</v>
      </c>
      <c r="V37" s="12">
        <f>IFERROR(VLOOKUP($D37,Total_DU!$B$5:$Z$174,22,0),0)</f>
        <v>2540</v>
      </c>
      <c r="W37" s="12">
        <f>IFERROR(VLOOKUP($D37,Total_DU!$B$5:$Z$174,23,0),0)</f>
        <v>2567</v>
      </c>
      <c r="X37" s="12">
        <f>IFERROR(VLOOKUP($D37,Total_DU!$B$5:$Z$174,24,0),0)</f>
        <v>2833</v>
      </c>
      <c r="Y37" s="12">
        <f>IFERROR(VLOOKUP($D37,Total_DU!$B$5:$Z$174,25,0),0)</f>
        <v>2946</v>
      </c>
      <c r="Z37" s="12">
        <f>IFERROR(VLOOKUP($D37,Population!$B$5:$Y$174,21,FALSE),0)</f>
        <v>5335.1105536886607</v>
      </c>
      <c r="AA37" s="12">
        <f>IFERROR(VLOOKUP($D37,Population!$B$5:$Y$174,22,FALSE),0)</f>
        <v>5391.8223587869252</v>
      </c>
      <c r="AB37" s="12">
        <f>IFERROR(VLOOKUP($D37,Population!$B$5:$Y$174,23,FALSE),0)</f>
        <v>5950.5386827475713</v>
      </c>
      <c r="AC37" s="12">
        <f>IFERROR(VLOOKUP($D37,Population!$B$5:$Y$174,24,FALSE),0)</f>
        <v>6188</v>
      </c>
    </row>
    <row r="38" spans="1:29" ht="15" x14ac:dyDescent="0.25">
      <c r="A38" s="2" t="s">
        <v>57</v>
      </c>
      <c r="B38" s="2" t="s">
        <v>522</v>
      </c>
      <c r="C38" s="2" t="s">
        <v>56</v>
      </c>
      <c r="D38" s="2">
        <v>30</v>
      </c>
      <c r="E38" s="11">
        <v>2022</v>
      </c>
      <c r="F38" s="12">
        <f>VLOOKUP($D38,'2022Data to Complete Appendix C'!$C$8:$Q$313,2,FALSE)</f>
        <v>3753</v>
      </c>
      <c r="G38" s="12">
        <f>VLOOKUP($D38,'2022Data to Complete Appendix C'!$C$8:$Q$313,3,FALSE)</f>
        <v>1051</v>
      </c>
      <c r="H38" s="12">
        <f>VLOOKUP($D38,'2022Data to Complete Appendix C'!$C$8:$Q$313,4,FALSE)</f>
        <v>49</v>
      </c>
      <c r="I38" s="12">
        <f>VLOOKUP($D38,'2022Data to Complete Appendix C'!$C$8:$Q$313,5,FALSE)</f>
        <v>1411</v>
      </c>
      <c r="J38" s="114">
        <f>VLOOKUP($D38,'2022Data to Complete Appendix C'!$C$8:$Q$313,6,FALSE)</f>
        <v>3.5708799999999998</v>
      </c>
      <c r="K38" s="114">
        <f>VLOOKUP($D38,'2022Data to Complete Appendix C'!$C$8:$Q$313,7,FALSE)</f>
        <v>1.95</v>
      </c>
      <c r="L38" s="114">
        <f>VLOOKUP($D38,'2022Data to Complete Appendix C'!$C$8:$Q$313,8,FALSE)</f>
        <v>1.08432</v>
      </c>
      <c r="M38" s="12">
        <f>VLOOKUP($D38,'2022Data to Complete Appendix C'!$C$8:$Q$313,9,FALSE)</f>
        <v>162.28</v>
      </c>
      <c r="N38" s="114">
        <f>VLOOKUP($D38,'2022Data to Complete Appendix C'!$C$8:$Q$313,10,FALSE)</f>
        <v>0.13375300000000001</v>
      </c>
      <c r="O38" s="115">
        <f>VLOOKUP($D38,'2022Data to Complete Appendix C'!$C$8:$Q$313,11,FALSE)</f>
        <v>0.56699999999999995</v>
      </c>
      <c r="P38" s="115">
        <f>VLOOKUP($D38,'2022Data to Complete Appendix C'!$C$8:$Q$313,12,FALSE)</f>
        <v>0.772675</v>
      </c>
      <c r="Q38" s="115">
        <f>VLOOKUP($D38,'2022Data to Complete Appendix C'!$C$8:$Q$313,13,FALSE)</f>
        <v>0.54900000000000004</v>
      </c>
      <c r="R38" s="114">
        <f>VLOOKUP($D38,'2022Data to Complete Appendix C'!$C$8:$Q$313,14,FALSE)</f>
        <v>2.2999999999999998</v>
      </c>
      <c r="S38" s="115">
        <f>VLOOKUP($D38,'2022Data to Complete Appendix C'!$C$8:$Q$313,15,FALSE)</f>
        <v>-0.86705200000000004</v>
      </c>
      <c r="T38" s="12">
        <f>IFERROR(VLOOKUP($D38,'2022LodgingbyWUP'!$A$1:$D$98,4,FALSE),0)</f>
        <v>0</v>
      </c>
      <c r="U38" s="12">
        <f t="shared" si="0"/>
        <v>0</v>
      </c>
      <c r="V38" s="12">
        <f>IFERROR(VLOOKUP($D38,Total_DU!$B$5:$Z$174,22,0),0)</f>
        <v>1397</v>
      </c>
      <c r="W38" s="12">
        <f>IFERROR(VLOOKUP($D38,Total_DU!$B$5:$Z$174,23,0),0)</f>
        <v>1308</v>
      </c>
      <c r="X38" s="12">
        <f>IFERROR(VLOOKUP($D38,Total_DU!$B$5:$Z$174,24,0),0)</f>
        <v>1399</v>
      </c>
      <c r="Y38" s="12">
        <f>IFERROR(VLOOKUP($D38,Total_DU!$B$5:$Z$174,25,0),0)</f>
        <v>1399</v>
      </c>
      <c r="Z38" s="12">
        <f>IFERROR(VLOOKUP($D38,Population!$B$5:$Y$174,21,FALSE),0)</f>
        <v>4651.3323453192188</v>
      </c>
      <c r="AA38" s="12">
        <f>IFERROR(VLOOKUP($D38,Population!$B$5:$Y$174,22,FALSE),0)</f>
        <v>4355.0054040019113</v>
      </c>
      <c r="AB38" s="12">
        <f>IFERROR(VLOOKUP($D38,Population!$B$5:$Y$174,23,FALSE),0)</f>
        <v>4657.9913011418748</v>
      </c>
      <c r="AC38" s="12">
        <f>IFERROR(VLOOKUP($D38,Population!$B$5:$Y$174,24,FALSE),0)</f>
        <v>4658</v>
      </c>
    </row>
    <row r="39" spans="1:29" ht="15" x14ac:dyDescent="0.25">
      <c r="A39" s="11" t="s">
        <v>57</v>
      </c>
      <c r="B39" s="11" t="s">
        <v>523</v>
      </c>
      <c r="C39" s="11" t="s">
        <v>90</v>
      </c>
      <c r="D39" s="11">
        <v>4461</v>
      </c>
      <c r="E39" s="11">
        <v>2022</v>
      </c>
      <c r="F39" s="12">
        <f>VLOOKUP($D39,'2022Data to Complete Appendix C'!$C$8:$Q$313,2,FALSE)</f>
        <v>8604</v>
      </c>
      <c r="G39" s="12">
        <f>VLOOKUP($D39,'2022Data to Complete Appendix C'!$C$8:$Q$313,3,FALSE)</f>
        <v>2773</v>
      </c>
      <c r="H39" s="12">
        <f>VLOOKUP($D39,'2022Data to Complete Appendix C'!$C$8:$Q$313,4,FALSE)</f>
        <v>199</v>
      </c>
      <c r="I39" s="12">
        <f>VLOOKUP($D39,'2022Data to Complete Appendix C'!$C$8:$Q$313,5,FALSE)</f>
        <v>3151</v>
      </c>
      <c r="J39" s="114">
        <f>VLOOKUP($D39,'2022Data to Complete Appendix C'!$C$8:$Q$313,6,FALSE)</f>
        <v>3.1027800000000001</v>
      </c>
      <c r="K39" s="114">
        <f>VLOOKUP($D39,'2022Data to Complete Appendix C'!$C$8:$Q$313,7,FALSE)</f>
        <v>1.95</v>
      </c>
      <c r="L39" s="114">
        <f>VLOOKUP($D39,'2022Data to Complete Appendix C'!$C$8:$Q$313,8,FALSE)</f>
        <v>1.0324599999999999</v>
      </c>
      <c r="M39" s="12">
        <f>VLOOKUP($D39,'2022Data to Complete Appendix C'!$C$8:$Q$313,9,FALSE)</f>
        <v>143.21</v>
      </c>
      <c r="N39" s="114">
        <f>VLOOKUP($D39,'2022Data to Complete Appendix C'!$C$8:$Q$313,10,FALSE)</f>
        <v>4.9108400000000003E-2</v>
      </c>
      <c r="O39" s="115">
        <f>VLOOKUP($D39,'2022Data to Complete Appendix C'!$C$8:$Q$313,11,FALSE)</f>
        <v>0.56699999999999995</v>
      </c>
      <c r="P39" s="115">
        <f>VLOOKUP($D39,'2022Data to Complete Appendix C'!$C$8:$Q$313,12,FALSE)</f>
        <v>0.772675</v>
      </c>
      <c r="Q39" s="115">
        <f>VLOOKUP($D39,'2022Data to Complete Appendix C'!$C$8:$Q$313,13,FALSE)</f>
        <v>0.54900000000000004</v>
      </c>
      <c r="R39" s="114">
        <f>VLOOKUP($D39,'2022Data to Complete Appendix C'!$C$8:$Q$313,14,FALSE)</f>
        <v>2.2999999999999998</v>
      </c>
      <c r="S39" s="115">
        <f>VLOOKUP($D39,'2022Data to Complete Appendix C'!$C$8:$Q$313,15,FALSE)</f>
        <v>-0.75896699999999995</v>
      </c>
      <c r="T39" s="12">
        <f>IFERROR(VLOOKUP($D39,'2022LodgingbyWUP'!$A$1:$D$98,4,FALSE),0)</f>
        <v>20</v>
      </c>
      <c r="U39" s="12">
        <f t="shared" si="0"/>
        <v>25.253999999999998</v>
      </c>
      <c r="V39" s="12">
        <f>IFERROR(VLOOKUP($D39,Total_DU!$B$5:$Z$174,22,0),0)</f>
        <v>2064</v>
      </c>
      <c r="W39" s="12">
        <f>IFERROR(VLOOKUP($D39,Total_DU!$B$5:$Z$174,23,0),0)</f>
        <v>2058</v>
      </c>
      <c r="X39" s="12">
        <f>IFERROR(VLOOKUP($D39,Total_DU!$B$5:$Z$174,24,0),0)</f>
        <v>2087</v>
      </c>
      <c r="Y39" s="12">
        <f>IFERROR(VLOOKUP($D39,Total_DU!$B$5:$Z$174,25,0),0)</f>
        <v>2188</v>
      </c>
      <c r="Z39" s="12">
        <f>IFERROR(VLOOKUP($D39,Population!$B$5:$Y$174,21,FALSE),0)</f>
        <v>6397</v>
      </c>
      <c r="AA39" s="12">
        <f>IFERROR(VLOOKUP($D39,Population!$B$5:$Y$174,22,FALSE),0)</f>
        <v>6378</v>
      </c>
      <c r="AB39" s="12">
        <f>IFERROR(VLOOKUP($D39,Population!$B$5:$Y$174,23,FALSE),0)</f>
        <v>6490.1482385070567</v>
      </c>
      <c r="AC39" s="12">
        <f>IFERROR(VLOOKUP($D39,Population!$B$5:$Y$174,24,FALSE),0)</f>
        <v>6776</v>
      </c>
    </row>
    <row r="40" spans="1:29" ht="15" x14ac:dyDescent="0.25">
      <c r="A40" s="2" t="s">
        <v>57</v>
      </c>
      <c r="B40" s="2" t="s">
        <v>524</v>
      </c>
      <c r="C40" s="2" t="s">
        <v>480</v>
      </c>
      <c r="D40" s="2">
        <v>7022</v>
      </c>
      <c r="E40" s="11">
        <v>2022</v>
      </c>
      <c r="F40" s="12">
        <f>VLOOKUP($D40,'2022Data to Complete Appendix C'!$C$8:$Q$313,2,FALSE)</f>
        <v>5</v>
      </c>
      <c r="G40" s="12">
        <f>VLOOKUP($D40,'2022Data to Complete Appendix C'!$C$8:$Q$313,3,FALSE)</f>
        <v>3</v>
      </c>
      <c r="H40" s="12">
        <f>VLOOKUP($D40,'2022Data to Complete Appendix C'!$C$8:$Q$313,4,FALSE)</f>
        <v>0</v>
      </c>
      <c r="I40" s="12">
        <f>VLOOKUP($D40,'2022Data to Complete Appendix C'!$C$8:$Q$313,5,FALSE)</f>
        <v>3</v>
      </c>
      <c r="J40" s="114">
        <f>VLOOKUP($D40,'2022Data to Complete Appendix C'!$C$8:$Q$313,6,FALSE)</f>
        <v>1.6666700000000001</v>
      </c>
      <c r="K40" s="114">
        <f>VLOOKUP($D40,'2022Data to Complete Appendix C'!$C$8:$Q$313,7,FALSE)</f>
        <v>1.95</v>
      </c>
      <c r="L40" s="114">
        <f>VLOOKUP($D40,'2022Data to Complete Appendix C'!$C$8:$Q$313,8,FALSE)</f>
        <v>1.0324599999999999</v>
      </c>
      <c r="M40" s="12">
        <f>VLOOKUP($D40,'2022Data to Complete Appendix C'!$C$8:$Q$313,9,FALSE)</f>
        <v>8.3223099999999994E-2</v>
      </c>
      <c r="N40" s="114">
        <f>VLOOKUP($D40,'2022Data to Complete Appendix C'!$C$8:$Q$313,10,FALSE)</f>
        <v>2.6992200000000001E-2</v>
      </c>
      <c r="O40" s="115">
        <f>VLOOKUP($D40,'2022Data to Complete Appendix C'!$C$8:$Q$313,11,FALSE)</f>
        <v>0.56699999999999995</v>
      </c>
      <c r="P40" s="115">
        <f>VLOOKUP($D40,'2022Data to Complete Appendix C'!$C$8:$Q$313,12,FALSE)</f>
        <v>0.772675</v>
      </c>
      <c r="Q40" s="115">
        <f>VLOOKUP($D40,'2022Data to Complete Appendix C'!$C$8:$Q$313,13,FALSE)</f>
        <v>0.54900000000000004</v>
      </c>
      <c r="R40" s="114">
        <f>VLOOKUP($D40,'2022Data to Complete Appendix C'!$C$8:$Q$313,14,FALSE)</f>
        <v>2.2999999999999998</v>
      </c>
      <c r="S40" s="115">
        <f>VLOOKUP($D40,'2022Data to Complete Appendix C'!$C$8:$Q$313,15,FALSE)</f>
        <v>-0.55482500000000001</v>
      </c>
      <c r="T40" s="12">
        <f>IFERROR(VLOOKUP($D40,'2022LodgingbyWUP'!$A$1:$D$98,4,FALSE),0)</f>
        <v>0</v>
      </c>
      <c r="U40" s="12">
        <f t="shared" si="0"/>
        <v>0</v>
      </c>
      <c r="V40" s="12">
        <f>IFERROR(VLOOKUP($D40,Total_DU!$B$5:$Z$174,22,0),0)</f>
        <v>0</v>
      </c>
      <c r="W40" s="12">
        <f>IFERROR(VLOOKUP($D40,Total_DU!$B$5:$Z$174,23,0),0)</f>
        <v>0</v>
      </c>
      <c r="X40" s="12">
        <f>IFERROR(VLOOKUP($D40,Total_DU!$B$5:$Z$174,24,0),0)</f>
        <v>0</v>
      </c>
      <c r="Y40" s="12">
        <f>IFERROR(VLOOKUP($D40,Total_DU!$B$5:$Z$174,25,0),0)</f>
        <v>0</v>
      </c>
      <c r="Z40" s="12">
        <f>IFERROR(VLOOKUP($D40,Population!$B$5:$Y$174,21,FALSE),0)</f>
        <v>0</v>
      </c>
      <c r="AA40" s="12">
        <f>IFERROR(VLOOKUP($D40,Population!$B$5:$Y$174,22,FALSE),0)</f>
        <v>0</v>
      </c>
      <c r="AB40" s="12">
        <f>IFERROR(VLOOKUP($D40,Population!$B$5:$Y$174,23,FALSE),0)</f>
        <v>0</v>
      </c>
      <c r="AC40" s="12">
        <f>IFERROR(VLOOKUP($D40,Population!$B$5:$Y$174,24,FALSE),0)</f>
        <v>0</v>
      </c>
    </row>
    <row r="41" spans="1:29" ht="15" x14ac:dyDescent="0.25">
      <c r="A41" s="11" t="s">
        <v>57</v>
      </c>
      <c r="B41" s="11" t="s">
        <v>525</v>
      </c>
      <c r="C41" s="11" t="s">
        <v>16</v>
      </c>
      <c r="D41" s="11">
        <v>7658</v>
      </c>
      <c r="E41" s="11">
        <v>2022</v>
      </c>
      <c r="F41" s="12">
        <f>VLOOKUP($D41,'2022Data to Complete Appendix C'!$C$8:$Q$313,2,FALSE)</f>
        <v>2043</v>
      </c>
      <c r="G41" s="12">
        <f>VLOOKUP($D41,'2022Data to Complete Appendix C'!$C$8:$Q$313,3,FALSE)</f>
        <v>582</v>
      </c>
      <c r="H41" s="12">
        <f>VLOOKUP($D41,'2022Data to Complete Appendix C'!$C$8:$Q$313,4,FALSE)</f>
        <v>0</v>
      </c>
      <c r="I41" s="12">
        <f>VLOOKUP($D41,'2022Data to Complete Appendix C'!$C$8:$Q$313,5,FALSE)</f>
        <v>655</v>
      </c>
      <c r="J41" s="114">
        <f>VLOOKUP($D41,'2022Data to Complete Appendix C'!$C$8:$Q$313,6,FALSE)</f>
        <v>3.51031</v>
      </c>
      <c r="K41" s="114">
        <f>VLOOKUP($D41,'2022Data to Complete Appendix C'!$C$8:$Q$313,7,FALSE)</f>
        <v>1.95</v>
      </c>
      <c r="L41" s="114">
        <f>VLOOKUP($D41,'2022Data to Complete Appendix C'!$C$8:$Q$313,8,FALSE)</f>
        <v>1.1684399999999999</v>
      </c>
      <c r="M41" s="12">
        <f>VLOOKUP($D41,'2022Data to Complete Appendix C'!$C$8:$Q$313,9,FALSE)</f>
        <v>176.46899999999999</v>
      </c>
      <c r="N41" s="114">
        <f>VLOOKUP($D41,'2022Data to Complete Appendix C'!$C$8:$Q$313,10,FALSE)</f>
        <v>0.23266500000000001</v>
      </c>
      <c r="O41" s="115">
        <f>VLOOKUP($D41,'2022Data to Complete Appendix C'!$C$8:$Q$313,11,FALSE)</f>
        <v>0.56699999999999995</v>
      </c>
      <c r="P41" s="115">
        <f>VLOOKUP($D41,'2022Data to Complete Appendix C'!$C$8:$Q$313,12,FALSE)</f>
        <v>0.772675</v>
      </c>
      <c r="Q41" s="115">
        <f>VLOOKUP($D41,'2022Data to Complete Appendix C'!$C$8:$Q$313,13,FALSE)</f>
        <v>0.54900000000000004</v>
      </c>
      <c r="R41" s="114">
        <f>VLOOKUP($D41,'2022Data to Complete Appendix C'!$C$8:$Q$313,14,FALSE)</f>
        <v>2.2999999999999998</v>
      </c>
      <c r="S41" s="115">
        <f>VLOOKUP($D41,'2022Data to Complete Appendix C'!$C$8:$Q$313,15,FALSE)</f>
        <v>-0.91105999999999998</v>
      </c>
      <c r="T41" s="12">
        <f>IFERROR(VLOOKUP($D41,'2022LodgingbyWUP'!$A$1:$D$98,4,FALSE),0)</f>
        <v>0</v>
      </c>
      <c r="U41" s="12">
        <f t="shared" si="0"/>
        <v>0</v>
      </c>
      <c r="V41" s="12">
        <f>IFERROR(VLOOKUP($D41,Total_DU!$B$5:$Z$174,22,0),0)</f>
        <v>820</v>
      </c>
      <c r="W41" s="12">
        <f>IFERROR(VLOOKUP($D41,Total_DU!$B$5:$Z$174,23,0),0)</f>
        <v>820</v>
      </c>
      <c r="X41" s="12">
        <f>IFERROR(VLOOKUP($D41,Total_DU!$B$5:$Z$174,24,0),0)</f>
        <v>822</v>
      </c>
      <c r="Y41" s="12">
        <f>IFERROR(VLOOKUP($D41,Total_DU!$B$5:$Z$174,25,0),0)</f>
        <v>823</v>
      </c>
      <c r="Z41" s="12">
        <f>IFERROR(VLOOKUP($D41,Population!$B$5:$Y$174,21,FALSE),0)</f>
        <v>2496.1913935406251</v>
      </c>
      <c r="AA41" s="12">
        <f>IFERROR(VLOOKUP($D41,Population!$B$5:$Y$174,22,FALSE),0)</f>
        <v>2499</v>
      </c>
      <c r="AB41" s="12">
        <f>IFERROR(VLOOKUP($D41,Population!$B$5:$Y$174,23,FALSE),0)</f>
        <v>2499</v>
      </c>
      <c r="AC41" s="12">
        <f>IFERROR(VLOOKUP($D41,Population!$B$5:$Y$174,24,FALSE),0)</f>
        <v>2505</v>
      </c>
    </row>
    <row r="42" spans="1:29" ht="15" x14ac:dyDescent="0.25">
      <c r="A42" s="2" t="s">
        <v>57</v>
      </c>
      <c r="B42" s="2" t="s">
        <v>935</v>
      </c>
      <c r="C42" s="2" t="s">
        <v>111</v>
      </c>
      <c r="D42" s="2">
        <v>13026</v>
      </c>
      <c r="E42" s="11">
        <v>2022</v>
      </c>
      <c r="F42" s="12">
        <f>VLOOKUP($D42,'2022Data to Complete Appendix C'!$C$8:$Q$313,2,FALSE)</f>
        <v>3124</v>
      </c>
      <c r="G42" s="12">
        <f>VLOOKUP($D42,'2022Data to Complete Appendix C'!$C$8:$Q$313,3,FALSE)</f>
        <v>966</v>
      </c>
      <c r="H42" s="12">
        <f>VLOOKUP($D42,'2022Data to Complete Appendix C'!$C$8:$Q$313,4,FALSE)</f>
        <v>0</v>
      </c>
      <c r="I42" s="12">
        <f>VLOOKUP($D42,'2022Data to Complete Appendix C'!$C$8:$Q$313,5,FALSE)</f>
        <v>1147</v>
      </c>
      <c r="J42" s="114">
        <f>VLOOKUP($D42,'2022Data to Complete Appendix C'!$C$8:$Q$313,6,FALSE)</f>
        <v>3.2339500000000001</v>
      </c>
      <c r="K42" s="114">
        <f>VLOOKUP($D42,'2022Data to Complete Appendix C'!$C$8:$Q$313,7,FALSE)</f>
        <v>1.95</v>
      </c>
      <c r="L42" s="114">
        <f>VLOOKUP($D42,'2022Data to Complete Appendix C'!$C$8:$Q$313,8,FALSE)</f>
        <v>1.0518000000000001</v>
      </c>
      <c r="M42" s="12">
        <f>VLOOKUP($D42,'2022Data to Complete Appendix C'!$C$8:$Q$313,9,FALSE)</f>
        <v>82.981499999999997</v>
      </c>
      <c r="N42" s="114">
        <f>VLOOKUP($D42,'2022Data to Complete Appendix C'!$C$8:$Q$313,10,FALSE)</f>
        <v>7.9106700000000002E-2</v>
      </c>
      <c r="O42" s="115">
        <f>VLOOKUP($D42,'2022Data to Complete Appendix C'!$C$8:$Q$313,11,FALSE)</f>
        <v>0.56699999999999995</v>
      </c>
      <c r="P42" s="115">
        <f>VLOOKUP($D42,'2022Data to Complete Appendix C'!$C$8:$Q$313,12,FALSE)</f>
        <v>0.772675</v>
      </c>
      <c r="Q42" s="115">
        <f>VLOOKUP($D42,'2022Data to Complete Appendix C'!$C$8:$Q$313,13,FALSE)</f>
        <v>0.54900000000000004</v>
      </c>
      <c r="R42" s="114">
        <f>VLOOKUP($D42,'2022Data to Complete Appendix C'!$C$8:$Q$313,14,FALSE)</f>
        <v>2.2999999999999998</v>
      </c>
      <c r="S42" s="115">
        <f>VLOOKUP($D42,'2022Data to Complete Appendix C'!$C$8:$Q$313,15,FALSE)</f>
        <v>-0.96522399999999997</v>
      </c>
      <c r="T42" s="12">
        <f>IFERROR(VLOOKUP($D42,'2022LodgingbyWUP'!$A$1:$D$98,4,FALSE),0)</f>
        <v>77</v>
      </c>
      <c r="U42" s="12">
        <f t="shared" si="0"/>
        <v>97.227900000000005</v>
      </c>
      <c r="V42" s="12">
        <f>IFERROR(VLOOKUP($D42,Total_DU!$B$5:$Z$174,22,0),0)</f>
        <v>895</v>
      </c>
      <c r="W42" s="12">
        <f>IFERROR(VLOOKUP($D42,Total_DU!$B$5:$Z$174,23,0),0)</f>
        <v>898</v>
      </c>
      <c r="X42" s="12">
        <f>IFERROR(VLOOKUP($D42,Total_DU!$B$5:$Z$174,24,0),0)</f>
        <v>906</v>
      </c>
      <c r="Y42" s="12">
        <f>IFERROR(VLOOKUP($D42,Total_DU!$B$5:$Z$174,25,0),0)</f>
        <v>950</v>
      </c>
      <c r="Z42" s="12">
        <f>IFERROR(VLOOKUP($D42,Population!$B$5:$Y$174,21,FALSE),0)</f>
        <v>2900.7916984693561</v>
      </c>
      <c r="AA42" s="12">
        <f>IFERROR(VLOOKUP($D42,Population!$B$5:$Y$174,22,FALSE),0)</f>
        <v>2898.0021830243695</v>
      </c>
      <c r="AB42" s="12">
        <f>IFERROR(VLOOKUP($D42,Population!$B$5:$Y$174,23,FALSE),0)</f>
        <v>2912.9619671736637</v>
      </c>
      <c r="AC42" s="12">
        <f>IFERROR(VLOOKUP($D42,Population!$B$5:$Y$174,24,FALSE),0)</f>
        <v>3038</v>
      </c>
    </row>
    <row r="43" spans="1:29" ht="15" x14ac:dyDescent="0.25">
      <c r="A43" s="11" t="s">
        <v>26</v>
      </c>
      <c r="B43" s="11" t="s">
        <v>526</v>
      </c>
      <c r="C43" s="11" t="s">
        <v>129</v>
      </c>
      <c r="D43" s="11">
        <v>3720</v>
      </c>
      <c r="E43" s="11">
        <v>2022</v>
      </c>
      <c r="F43" s="12">
        <f>VLOOKUP($D43,'2022Data to Complete Appendix C'!$C$8:$Q$313,2,FALSE)</f>
        <v>301</v>
      </c>
      <c r="G43" s="12">
        <f>VLOOKUP($D43,'2022Data to Complete Appendix C'!$C$8:$Q$313,3,FALSE)</f>
        <v>164</v>
      </c>
      <c r="H43" s="12">
        <f>VLOOKUP($D43,'2022Data to Complete Appendix C'!$C$8:$Q$313,4,FALSE)</f>
        <v>0</v>
      </c>
      <c r="I43" s="12">
        <f>VLOOKUP($D43,'2022Data to Complete Appendix C'!$C$8:$Q$313,5,FALSE)</f>
        <v>218</v>
      </c>
      <c r="J43" s="114">
        <f>VLOOKUP($D43,'2022Data to Complete Appendix C'!$C$8:$Q$313,6,FALSE)</f>
        <v>1.8353699999999999</v>
      </c>
      <c r="K43" s="114">
        <f>VLOOKUP($D43,'2022Data to Complete Appendix C'!$C$8:$Q$313,7,FALSE)</f>
        <v>1.95</v>
      </c>
      <c r="L43" s="114">
        <f>VLOOKUP($D43,'2022Data to Complete Appendix C'!$C$8:$Q$313,8,FALSE)</f>
        <v>1.11751</v>
      </c>
      <c r="M43" s="12">
        <f>VLOOKUP($D43,'2022Data to Complete Appendix C'!$C$8:$Q$313,9,FALSE)</f>
        <v>18.1389</v>
      </c>
      <c r="N43" s="114">
        <f>VLOOKUP($D43,'2022Data to Complete Appendix C'!$C$8:$Q$313,10,FALSE)</f>
        <v>9.9588200000000002E-2</v>
      </c>
      <c r="O43" s="115">
        <f>VLOOKUP($D43,'2022Data to Complete Appendix C'!$C$8:$Q$313,11,FALSE)</f>
        <v>0.56699999999999995</v>
      </c>
      <c r="P43" s="115">
        <f>VLOOKUP($D43,'2022Data to Complete Appendix C'!$C$8:$Q$313,12,FALSE)</f>
        <v>0.772675</v>
      </c>
      <c r="Q43" s="115">
        <f>VLOOKUP($D43,'2022Data to Complete Appendix C'!$C$8:$Q$313,13,FALSE)</f>
        <v>0.69699999999999995</v>
      </c>
      <c r="R43" s="114">
        <f>VLOOKUP($D43,'2022Data to Complete Appendix C'!$C$8:$Q$313,14,FALSE)</f>
        <v>2.2999999999999998</v>
      </c>
      <c r="S43" s="115">
        <f>VLOOKUP($D43,'2022Data to Complete Appendix C'!$C$8:$Q$313,15,FALSE)</f>
        <v>0.324494</v>
      </c>
      <c r="T43" s="12">
        <f>IFERROR(VLOOKUP($D43,'2022LodgingbyWUP'!$A$1:$D$98,4,FALSE),0)</f>
        <v>0</v>
      </c>
      <c r="U43" s="12">
        <f t="shared" si="0"/>
        <v>0</v>
      </c>
      <c r="V43" s="12">
        <f>IFERROR(VLOOKUP($D43,Total_DU!$B$5:$Z$174,22,0),0)</f>
        <v>0</v>
      </c>
      <c r="W43" s="12">
        <f>IFERROR(VLOOKUP($D43,Total_DU!$B$5:$Z$174,23,0),0)</f>
        <v>0</v>
      </c>
      <c r="X43" s="12">
        <f>IFERROR(VLOOKUP($D43,Total_DU!$B$5:$Z$174,24,0),0)</f>
        <v>0</v>
      </c>
      <c r="Y43" s="12">
        <f>IFERROR(VLOOKUP($D43,Total_DU!$B$5:$Z$174,25,0),0)</f>
        <v>0</v>
      </c>
      <c r="Z43" s="12">
        <f>IFERROR(VLOOKUP($D43,Population!$B$5:$Y$174,21,FALSE),0)</f>
        <v>0</v>
      </c>
      <c r="AA43" s="12">
        <f>IFERROR(VLOOKUP($D43,Population!$B$5:$Y$174,22,FALSE),0)</f>
        <v>0</v>
      </c>
      <c r="AB43" s="12">
        <f>IFERROR(VLOOKUP($D43,Population!$B$5:$Y$174,23,FALSE),0)</f>
        <v>0</v>
      </c>
      <c r="AC43" s="12">
        <f>IFERROR(VLOOKUP($D43,Population!$B$5:$Y$174,24,FALSE),0)</f>
        <v>0</v>
      </c>
    </row>
    <row r="44" spans="1:29" ht="15" x14ac:dyDescent="0.25">
      <c r="A44" s="2" t="s">
        <v>26</v>
      </c>
      <c r="B44" s="2" t="s">
        <v>527</v>
      </c>
      <c r="C44" s="2" t="s">
        <v>112</v>
      </c>
      <c r="D44" s="2">
        <v>5789</v>
      </c>
      <c r="E44" s="11">
        <v>2022</v>
      </c>
      <c r="F44" s="12">
        <f>VLOOKUP($D44,'2022Data to Complete Appendix C'!$C$8:$Q$313,2,FALSE)</f>
        <v>133900</v>
      </c>
      <c r="G44" s="12">
        <f>VLOOKUP($D44,'2022Data to Complete Appendix C'!$C$8:$Q$313,3,FALSE)</f>
        <v>56572</v>
      </c>
      <c r="H44" s="12">
        <f>VLOOKUP($D44,'2022Data to Complete Appendix C'!$C$8:$Q$313,4,FALSE)</f>
        <v>1217</v>
      </c>
      <c r="I44" s="12">
        <f>VLOOKUP($D44,'2022Data to Complete Appendix C'!$C$8:$Q$313,5,FALSE)</f>
        <v>66020</v>
      </c>
      <c r="J44" s="114">
        <f>VLOOKUP($D44,'2022Data to Complete Appendix C'!$C$8:$Q$313,6,FALSE)</f>
        <v>2.3668999999999998</v>
      </c>
      <c r="K44" s="114">
        <f>VLOOKUP($D44,'2022Data to Complete Appendix C'!$C$8:$Q$313,7,FALSE)</f>
        <v>1.95</v>
      </c>
      <c r="L44" s="114">
        <f>VLOOKUP($D44,'2022Data to Complete Appendix C'!$C$8:$Q$313,8,FALSE)</f>
        <v>1.09423</v>
      </c>
      <c r="M44" s="12">
        <f>VLOOKUP($D44,'2022Data to Complete Appendix C'!$C$8:$Q$313,9,FALSE)</f>
        <v>6470.53</v>
      </c>
      <c r="N44" s="114">
        <f>VLOOKUP($D44,'2022Data to Complete Appendix C'!$C$8:$Q$313,10,FALSE)</f>
        <v>0.10263799999999999</v>
      </c>
      <c r="O44" s="115">
        <f>VLOOKUP($D44,'2022Data to Complete Appendix C'!$C$8:$Q$313,11,FALSE)</f>
        <v>0.56699999999999995</v>
      </c>
      <c r="P44" s="115">
        <f>VLOOKUP($D44,'2022Data to Complete Appendix C'!$C$8:$Q$313,12,FALSE)</f>
        <v>0.772675</v>
      </c>
      <c r="Q44" s="115">
        <f>VLOOKUP($D44,'2022Data to Complete Appendix C'!$C$8:$Q$313,13,FALSE)</f>
        <v>0.69699999999999995</v>
      </c>
      <c r="R44" s="114">
        <f>VLOOKUP($D44,'2022Data to Complete Appendix C'!$C$8:$Q$313,14,FALSE)</f>
        <v>2.2999999999999998</v>
      </c>
      <c r="S44" s="115">
        <f>VLOOKUP($D44,'2022Data to Complete Appendix C'!$C$8:$Q$313,15,FALSE)</f>
        <v>-0.24301800000000001</v>
      </c>
      <c r="T44" s="12">
        <f>IFERROR(VLOOKUP($D44,'2022LodgingbyWUP'!$A$1:$D$98,4,FALSE),0)</f>
        <v>1084</v>
      </c>
      <c r="U44" s="12">
        <f t="shared" si="0"/>
        <v>1737.7603999999999</v>
      </c>
      <c r="V44" s="12">
        <f>IFERROR(VLOOKUP($D44,Total_DU!$B$5:$Z$174,22,0),0)</f>
        <v>62431</v>
      </c>
      <c r="W44" s="12">
        <f>IFERROR(VLOOKUP($D44,Total_DU!$B$5:$Z$174,23,0),0)</f>
        <v>63152</v>
      </c>
      <c r="X44" s="12">
        <f>IFERROR(VLOOKUP($D44,Total_DU!$B$5:$Z$174,24,0),0)</f>
        <v>64197</v>
      </c>
      <c r="Y44" s="12">
        <f>IFERROR(VLOOKUP($D44,Total_DU!$B$5:$Z$174,25,0),0)</f>
        <v>65530</v>
      </c>
      <c r="Z44" s="12">
        <f>IFERROR(VLOOKUP($D44,Population!$B$5:$Y$174,21,FALSE),0)</f>
        <v>144783.04497640612</v>
      </c>
      <c r="AA44" s="12">
        <f>IFERROR(VLOOKUP($D44,Population!$B$5:$Y$174,22,FALSE),0)</f>
        <v>146373.85559443885</v>
      </c>
      <c r="AB44" s="12">
        <f>IFERROR(VLOOKUP($D44,Population!$B$5:$Y$174,23,FALSE),0)</f>
        <v>149003.1910685882</v>
      </c>
      <c r="AC44" s="12">
        <f>IFERROR(VLOOKUP($D44,Population!$B$5:$Y$174,24,FALSE),0)</f>
        <v>151827</v>
      </c>
    </row>
    <row r="45" spans="1:29" ht="15" x14ac:dyDescent="0.25">
      <c r="A45" s="2" t="s">
        <v>26</v>
      </c>
      <c r="B45" s="2" t="s">
        <v>528</v>
      </c>
      <c r="C45" s="2" t="s">
        <v>59</v>
      </c>
      <c r="D45" s="2">
        <v>7627</v>
      </c>
      <c r="E45" s="11">
        <v>2022</v>
      </c>
      <c r="F45" s="12">
        <f>VLOOKUP($D45,'2022Data to Complete Appendix C'!$C$8:$Q$313,2,FALSE)</f>
        <v>19263</v>
      </c>
      <c r="G45" s="12">
        <f>VLOOKUP($D45,'2022Data to Complete Appendix C'!$C$8:$Q$313,3,FALSE)</f>
        <v>8418</v>
      </c>
      <c r="H45" s="12">
        <f>VLOOKUP($D45,'2022Data to Complete Appendix C'!$C$8:$Q$313,4,FALSE)</f>
        <v>509</v>
      </c>
      <c r="I45" s="12">
        <f>VLOOKUP($D45,'2022Data to Complete Appendix C'!$C$8:$Q$313,5,FALSE)</f>
        <v>10251</v>
      </c>
      <c r="J45" s="114">
        <f>VLOOKUP($D45,'2022Data to Complete Appendix C'!$C$8:$Q$313,6,FALSE)</f>
        <v>2.2883100000000001</v>
      </c>
      <c r="K45" s="114">
        <f>VLOOKUP($D45,'2022Data to Complete Appendix C'!$C$8:$Q$313,7,FALSE)</f>
        <v>1.95</v>
      </c>
      <c r="L45" s="114">
        <f>VLOOKUP($D45,'2022Data to Complete Appendix C'!$C$8:$Q$313,8,FALSE)</f>
        <v>1.1030899999999999</v>
      </c>
      <c r="M45" s="12">
        <f>VLOOKUP($D45,'2022Data to Complete Appendix C'!$C$8:$Q$313,9,FALSE)</f>
        <v>1018.39</v>
      </c>
      <c r="N45" s="114">
        <f>VLOOKUP($D45,'2022Data to Complete Appendix C'!$C$8:$Q$313,10,FALSE)</f>
        <v>0.107922</v>
      </c>
      <c r="O45" s="115">
        <f>VLOOKUP($D45,'2022Data to Complete Appendix C'!$C$8:$Q$313,11,FALSE)</f>
        <v>0.56699999999999995</v>
      </c>
      <c r="P45" s="115">
        <f>VLOOKUP($D45,'2022Data to Complete Appendix C'!$C$8:$Q$313,12,FALSE)</f>
        <v>0.772675</v>
      </c>
      <c r="Q45" s="115">
        <f>VLOOKUP($D45,'2022Data to Complete Appendix C'!$C$8:$Q$313,13,FALSE)</f>
        <v>0.69699999999999995</v>
      </c>
      <c r="R45" s="114">
        <f>VLOOKUP($D45,'2022Data to Complete Appendix C'!$C$8:$Q$313,14,FALSE)</f>
        <v>2.2999999999999998</v>
      </c>
      <c r="S45" s="115">
        <f>VLOOKUP($D45,'2022Data to Complete Appendix C'!$C$8:$Q$313,15,FALSE)</f>
        <v>0.43797199999999997</v>
      </c>
      <c r="T45" s="12">
        <f>IFERROR(VLOOKUP($D45,'2022LodgingbyWUP'!$A$1:$D$98,4,FALSE),0)</f>
        <v>67</v>
      </c>
      <c r="U45" s="12">
        <f t="shared" si="0"/>
        <v>107.40769999999999</v>
      </c>
      <c r="V45" s="12">
        <f>IFERROR(VLOOKUP($D45,Total_DU!$B$5:$Z$174,22,0),0)</f>
        <v>7414</v>
      </c>
      <c r="W45" s="12">
        <f>IFERROR(VLOOKUP($D45,Total_DU!$B$5:$Z$174,23,0),0)</f>
        <v>8397</v>
      </c>
      <c r="X45" s="12">
        <f>IFERROR(VLOOKUP($D45,Total_DU!$B$5:$Z$174,24,0),0)</f>
        <v>7726</v>
      </c>
      <c r="Y45" s="12">
        <f>IFERROR(VLOOKUP($D45,Total_DU!$B$5:$Z$174,25,0),0)</f>
        <v>7274</v>
      </c>
      <c r="Z45" s="12">
        <f>IFERROR(VLOOKUP($D45,Population!$B$5:$Y$174,21,FALSE),0)</f>
        <v>16708</v>
      </c>
      <c r="AA45" s="12">
        <f>IFERROR(VLOOKUP($D45,Population!$B$5:$Y$174,22,FALSE),0)</f>
        <v>19876.003101770562</v>
      </c>
      <c r="AB45" s="12">
        <f>IFERROR(VLOOKUP($D45,Population!$B$5:$Y$174,23,FALSE),0)</f>
        <v>18308.178008535167</v>
      </c>
      <c r="AC45" s="12">
        <f>IFERROR(VLOOKUP($D45,Population!$B$5:$Y$174,24,FALSE),0)</f>
        <v>17232</v>
      </c>
    </row>
    <row r="46" spans="1:29" ht="15" x14ac:dyDescent="0.25">
      <c r="A46" s="11" t="s">
        <v>27</v>
      </c>
      <c r="B46" s="11" t="s">
        <v>714</v>
      </c>
      <c r="C46" s="11" t="s">
        <v>713</v>
      </c>
      <c r="D46" s="11">
        <v>4167</v>
      </c>
      <c r="E46" s="11">
        <v>2022</v>
      </c>
      <c r="F46" s="12">
        <f>VLOOKUP($D46,'2022Data to Complete Appendix C'!$C$8:$Q$313,2,FALSE)</f>
        <v>1811</v>
      </c>
      <c r="G46" s="12">
        <f>VLOOKUP($D46,'2022Data to Complete Appendix C'!$C$8:$Q$313,3,FALSE)</f>
        <v>835</v>
      </c>
      <c r="H46" s="12">
        <f>VLOOKUP($D46,'2022Data to Complete Appendix C'!$C$8:$Q$313,4,FALSE)</f>
        <v>0</v>
      </c>
      <c r="I46" s="12">
        <f>VLOOKUP($D46,'2022Data to Complete Appendix C'!$C$8:$Q$313,5,FALSE)</f>
        <v>1109</v>
      </c>
      <c r="J46" s="114">
        <f>VLOOKUP($D46,'2022Data to Complete Appendix C'!$C$8:$Q$313,6,FALSE)</f>
        <v>2.16886</v>
      </c>
      <c r="K46" s="114">
        <f>VLOOKUP($D46,'2022Data to Complete Appendix C'!$C$8:$Q$313,7,FALSE)</f>
        <v>1.95</v>
      </c>
      <c r="L46" s="114">
        <f>VLOOKUP($D46,'2022Data to Complete Appendix C'!$C$8:$Q$313,8,FALSE)</f>
        <v>1.13927</v>
      </c>
      <c r="M46" s="12">
        <f>VLOOKUP($D46,'2022Data to Complete Appendix C'!$C$8:$Q$313,9,FALSE)</f>
        <v>129.346</v>
      </c>
      <c r="N46" s="114">
        <f>VLOOKUP($D46,'2022Data to Complete Appendix C'!$C$8:$Q$313,10,FALSE)</f>
        <v>0.134128</v>
      </c>
      <c r="O46" s="115">
        <f>VLOOKUP($D46,'2022Data to Complete Appendix C'!$C$8:$Q$313,11,FALSE)</f>
        <v>0.56699999999999995</v>
      </c>
      <c r="P46" s="115">
        <f>VLOOKUP($D46,'2022Data to Complete Appendix C'!$C$8:$Q$313,12,FALSE)</f>
        <v>0.772675</v>
      </c>
      <c r="Q46" s="115">
        <f>VLOOKUP($D46,'2022Data to Complete Appendix C'!$C$8:$Q$313,13,FALSE)</f>
        <v>0.54900000000000004</v>
      </c>
      <c r="R46" s="114">
        <f>VLOOKUP($D46,'2022Data to Complete Appendix C'!$C$8:$Q$313,14,FALSE)</f>
        <v>2.2999999999999998</v>
      </c>
      <c r="S46" s="115">
        <f>VLOOKUP($D46,'2022Data to Complete Appendix C'!$C$8:$Q$313,15,FALSE)</f>
        <v>-0.10843700000000001</v>
      </c>
      <c r="T46" s="12">
        <f>IFERROR(VLOOKUP($D46,'2022LodgingbyWUP'!$A$1:$D$98,4,FALSE),0)</f>
        <v>6</v>
      </c>
      <c r="U46" s="12">
        <f t="shared" si="0"/>
        <v>7.5762000000000009</v>
      </c>
      <c r="V46" s="12">
        <f>IFERROR(VLOOKUP($D46,Total_DU!$B$5:$Z$174,22,0),0)</f>
        <v>640</v>
      </c>
      <c r="W46" s="12">
        <f>IFERROR(VLOOKUP($D46,Total_DU!$B$5:$Z$174,23,0),0)</f>
        <v>675</v>
      </c>
      <c r="X46" s="12">
        <f>IFERROR(VLOOKUP($D46,Total_DU!$B$5:$Z$174,24,0),0)</f>
        <v>661</v>
      </c>
      <c r="Y46" s="12">
        <f>IFERROR(VLOOKUP($D46,Total_DU!$B$5:$Z$174,25,0),0)</f>
        <v>672</v>
      </c>
      <c r="Z46" s="12">
        <f>IFERROR(VLOOKUP($D46,Population!$B$5:$Y$174,21,FALSE),0)</f>
        <v>1334</v>
      </c>
      <c r="AA46" s="12">
        <f>IFERROR(VLOOKUP($D46,Population!$B$5:$Y$174,22,FALSE),0)</f>
        <v>1407</v>
      </c>
      <c r="AB46" s="12">
        <f>IFERROR(VLOOKUP($D46,Population!$B$5:$Y$174,23,FALSE),0)</f>
        <v>1381.8783508132044</v>
      </c>
      <c r="AC46" s="12">
        <f>IFERROR(VLOOKUP($D46,Population!$B$5:$Y$174,24,FALSE),0)</f>
        <v>1404</v>
      </c>
    </row>
    <row r="47" spans="1:29" ht="15" x14ac:dyDescent="0.25">
      <c r="A47" s="2" t="s">
        <v>27</v>
      </c>
      <c r="B47" s="2" t="s">
        <v>529</v>
      </c>
      <c r="C47" s="2" t="s">
        <v>85</v>
      </c>
      <c r="D47" s="2">
        <v>4492</v>
      </c>
      <c r="E47" s="11">
        <v>2022</v>
      </c>
      <c r="F47" s="12">
        <f>VLOOKUP($D47,'2022Data to Complete Appendix C'!$C$8:$Q$313,2,FALSE)</f>
        <v>37407</v>
      </c>
      <c r="G47" s="12">
        <f>VLOOKUP($D47,'2022Data to Complete Appendix C'!$C$8:$Q$313,3,FALSE)</f>
        <v>17257</v>
      </c>
      <c r="H47" s="12">
        <f>VLOOKUP($D47,'2022Data to Complete Appendix C'!$C$8:$Q$313,4,FALSE)</f>
        <v>915</v>
      </c>
      <c r="I47" s="12">
        <f>VLOOKUP($D47,'2022Data to Complete Appendix C'!$C$8:$Q$313,5,FALSE)</f>
        <v>21912</v>
      </c>
      <c r="J47" s="114">
        <f>VLOOKUP($D47,'2022Data to Complete Appendix C'!$C$8:$Q$313,6,FALSE)</f>
        <v>2.16764</v>
      </c>
      <c r="K47" s="114">
        <f>VLOOKUP($D47,'2022Data to Complete Appendix C'!$C$8:$Q$313,7,FALSE)</f>
        <v>1.95</v>
      </c>
      <c r="L47" s="114">
        <f>VLOOKUP($D47,'2022Data to Complete Appendix C'!$C$8:$Q$313,8,FALSE)</f>
        <v>1.1597200000000001</v>
      </c>
      <c r="M47" s="12">
        <f>VLOOKUP($D47,'2022Data to Complete Appendix C'!$C$8:$Q$313,9,FALSE)</f>
        <v>3063.84</v>
      </c>
      <c r="N47" s="114">
        <f>VLOOKUP($D47,'2022Data to Complete Appendix C'!$C$8:$Q$313,10,FALSE)</f>
        <v>0.15077299999999999</v>
      </c>
      <c r="O47" s="115">
        <f>VLOOKUP($D47,'2022Data to Complete Appendix C'!$C$8:$Q$313,11,FALSE)</f>
        <v>0.56699999999999995</v>
      </c>
      <c r="P47" s="115">
        <f>VLOOKUP($D47,'2022Data to Complete Appendix C'!$C$8:$Q$313,12,FALSE)</f>
        <v>0.772675</v>
      </c>
      <c r="Q47" s="115">
        <f>VLOOKUP($D47,'2022Data to Complete Appendix C'!$C$8:$Q$313,13,FALSE)</f>
        <v>0.54900000000000004</v>
      </c>
      <c r="R47" s="114">
        <f>VLOOKUP($D47,'2022Data to Complete Appendix C'!$C$8:$Q$313,14,FALSE)</f>
        <v>2.2999999999999998</v>
      </c>
      <c r="S47" s="115">
        <f>VLOOKUP($D47,'2022Data to Complete Appendix C'!$C$8:$Q$313,15,FALSE)</f>
        <v>-0.20488999999999999</v>
      </c>
      <c r="T47" s="12">
        <f>IFERROR(VLOOKUP($D47,'2022LodgingbyWUP'!$A$1:$D$98,4,FALSE),0)</f>
        <v>633</v>
      </c>
      <c r="U47" s="12">
        <f t="shared" si="0"/>
        <v>799.28910000000008</v>
      </c>
      <c r="V47" s="12">
        <f>IFERROR(VLOOKUP($D47,Total_DU!$B$5:$Z$174,22,0),0)</f>
        <v>17322</v>
      </c>
      <c r="W47" s="12">
        <f>IFERROR(VLOOKUP($D47,Total_DU!$B$5:$Z$174,23,0),0)</f>
        <v>17109</v>
      </c>
      <c r="X47" s="12">
        <f>IFERROR(VLOOKUP($D47,Total_DU!$B$5:$Z$174,24,0),0)</f>
        <v>15732</v>
      </c>
      <c r="Y47" s="12">
        <f>IFERROR(VLOOKUP($D47,Total_DU!$B$5:$Z$174,25,0),0)</f>
        <v>16632</v>
      </c>
      <c r="Z47" s="12">
        <f>IFERROR(VLOOKUP($D47,Population!$B$5:$Y$174,21,FALSE),0)</f>
        <v>37306.038580483189</v>
      </c>
      <c r="AA47" s="12">
        <f>IFERROR(VLOOKUP($D47,Population!$B$5:$Y$174,22,FALSE),0)</f>
        <v>36857</v>
      </c>
      <c r="AB47" s="12">
        <f>IFERROR(VLOOKUP($D47,Population!$B$5:$Y$174,23,FALSE),0)</f>
        <v>33923.043060566932</v>
      </c>
      <c r="AC47" s="12">
        <f>IFERROR(VLOOKUP($D47,Population!$B$5:$Y$174,24,FALSE),0)</f>
        <v>35743</v>
      </c>
    </row>
    <row r="48" spans="1:29" ht="15" x14ac:dyDescent="0.25">
      <c r="A48" s="11" t="s">
        <v>27</v>
      </c>
      <c r="B48" s="11" t="s">
        <v>530</v>
      </c>
      <c r="C48" s="11" t="s">
        <v>126</v>
      </c>
      <c r="D48" s="11">
        <v>4670</v>
      </c>
      <c r="E48" s="11">
        <v>2022</v>
      </c>
      <c r="F48" s="12">
        <f>VLOOKUP($D48,'2022Data to Complete Appendix C'!$C$8:$Q$313,2,FALSE)</f>
        <v>635</v>
      </c>
      <c r="G48" s="12">
        <f>VLOOKUP($D48,'2022Data to Complete Appendix C'!$C$8:$Q$313,3,FALSE)</f>
        <v>280</v>
      </c>
      <c r="H48" s="12">
        <f>VLOOKUP($D48,'2022Data to Complete Appendix C'!$C$8:$Q$313,4,FALSE)</f>
        <v>0</v>
      </c>
      <c r="I48" s="12">
        <f>VLOOKUP($D48,'2022Data to Complete Appendix C'!$C$8:$Q$313,5,FALSE)</f>
        <v>338</v>
      </c>
      <c r="J48" s="114">
        <f>VLOOKUP($D48,'2022Data to Complete Appendix C'!$C$8:$Q$313,6,FALSE)</f>
        <v>2.2678600000000002</v>
      </c>
      <c r="K48" s="114">
        <f>VLOOKUP($D48,'2022Data to Complete Appendix C'!$C$8:$Q$313,7,FALSE)</f>
        <v>1.95</v>
      </c>
      <c r="L48" s="114">
        <f>VLOOKUP($D48,'2022Data to Complete Appendix C'!$C$8:$Q$313,8,FALSE)</f>
        <v>1.1371800000000001</v>
      </c>
      <c r="M48" s="12">
        <f>VLOOKUP($D48,'2022Data to Complete Appendix C'!$C$8:$Q$313,9,FALSE)</f>
        <v>44.6708</v>
      </c>
      <c r="N48" s="114">
        <f>VLOOKUP($D48,'2022Data to Complete Appendix C'!$C$8:$Q$313,10,FALSE)</f>
        <v>0.13758799999999999</v>
      </c>
      <c r="O48" s="115">
        <f>VLOOKUP($D48,'2022Data to Complete Appendix C'!$C$8:$Q$313,11,FALSE)</f>
        <v>0.56699999999999995</v>
      </c>
      <c r="P48" s="115">
        <f>VLOOKUP($D48,'2022Data to Complete Appendix C'!$C$8:$Q$313,12,FALSE)</f>
        <v>0.772675</v>
      </c>
      <c r="Q48" s="115">
        <f>VLOOKUP($D48,'2022Data to Complete Appendix C'!$C$8:$Q$313,13,FALSE)</f>
        <v>0.54900000000000004</v>
      </c>
      <c r="R48" s="114">
        <f>VLOOKUP($D48,'2022Data to Complete Appendix C'!$C$8:$Q$313,14,FALSE)</f>
        <v>2.2999999999999998</v>
      </c>
      <c r="S48" s="115">
        <f>VLOOKUP($D48,'2022Data to Complete Appendix C'!$C$8:$Q$313,15,FALSE)</f>
        <v>-0.65234099999999995</v>
      </c>
      <c r="T48" s="12">
        <f>IFERROR(VLOOKUP($D48,'2022LodgingbyWUP'!$A$1:$D$98,4,FALSE),0)</f>
        <v>0</v>
      </c>
      <c r="U48" s="12">
        <f t="shared" si="0"/>
        <v>0</v>
      </c>
      <c r="V48" s="12">
        <f>IFERROR(VLOOKUP($D48,Total_DU!$B$5:$Z$174,22,0),0)</f>
        <v>0</v>
      </c>
      <c r="W48" s="12">
        <f>IFERROR(VLOOKUP($D48,Total_DU!$B$5:$Z$174,23,0),0)</f>
        <v>0</v>
      </c>
      <c r="X48" s="12">
        <f>IFERROR(VLOOKUP($D48,Total_DU!$B$5:$Z$174,24,0),0)</f>
        <v>0</v>
      </c>
      <c r="Y48" s="12">
        <f>IFERROR(VLOOKUP($D48,Total_DU!$B$5:$Z$174,25,0),0)</f>
        <v>0</v>
      </c>
      <c r="Z48" s="12">
        <f>IFERROR(VLOOKUP($D48,Population!$B$5:$Y$174,21,FALSE),0)</f>
        <v>0</v>
      </c>
      <c r="AA48" s="12">
        <f>IFERROR(VLOOKUP($D48,Population!$B$5:$Y$174,22,FALSE),0)</f>
        <v>0</v>
      </c>
      <c r="AB48" s="12">
        <f>IFERROR(VLOOKUP($D48,Population!$B$5:$Y$174,23,FALSE),0)</f>
        <v>0</v>
      </c>
      <c r="AC48" s="12">
        <f>IFERROR(VLOOKUP($D48,Population!$B$5:$Y$174,24,FALSE),0)</f>
        <v>0</v>
      </c>
    </row>
    <row r="49" spans="1:29" ht="15" x14ac:dyDescent="0.25">
      <c r="A49" s="2" t="s">
        <v>27</v>
      </c>
      <c r="B49" s="2" t="s">
        <v>531</v>
      </c>
      <c r="C49" s="2" t="s">
        <v>122</v>
      </c>
      <c r="D49" s="2">
        <v>4980</v>
      </c>
      <c r="E49" s="11">
        <v>2022</v>
      </c>
      <c r="F49" s="12">
        <f>VLOOKUP($D49,'2022Data to Complete Appendix C'!$C$8:$Q$313,2,FALSE)</f>
        <v>4278</v>
      </c>
      <c r="G49" s="12">
        <f>VLOOKUP($D49,'2022Data to Complete Appendix C'!$C$8:$Q$313,3,FALSE)</f>
        <v>1824</v>
      </c>
      <c r="H49" s="12">
        <f>VLOOKUP($D49,'2022Data to Complete Appendix C'!$C$8:$Q$313,4,FALSE)</f>
        <v>0</v>
      </c>
      <c r="I49" s="12">
        <f>VLOOKUP($D49,'2022Data to Complete Appendix C'!$C$8:$Q$313,5,FALSE)</f>
        <v>2360</v>
      </c>
      <c r="J49" s="114">
        <f>VLOOKUP($D49,'2022Data to Complete Appendix C'!$C$8:$Q$313,6,FALSE)</f>
        <v>2.3453900000000001</v>
      </c>
      <c r="K49" s="114">
        <f>VLOOKUP($D49,'2022Data to Complete Appendix C'!$C$8:$Q$313,7,FALSE)</f>
        <v>1.95</v>
      </c>
      <c r="L49" s="114">
        <f>VLOOKUP($D49,'2022Data to Complete Appendix C'!$C$8:$Q$313,8,FALSE)</f>
        <v>1.15096</v>
      </c>
      <c r="M49" s="12">
        <f>VLOOKUP($D49,'2022Data to Complete Appendix C'!$C$8:$Q$313,9,FALSE)</f>
        <v>331.19400000000002</v>
      </c>
      <c r="N49" s="114">
        <f>VLOOKUP($D49,'2022Data to Complete Appendix C'!$C$8:$Q$313,10,FALSE)</f>
        <v>0.153672</v>
      </c>
      <c r="O49" s="115">
        <f>VLOOKUP($D49,'2022Data to Complete Appendix C'!$C$8:$Q$313,11,FALSE)</f>
        <v>0.56699999999999995</v>
      </c>
      <c r="P49" s="115">
        <f>VLOOKUP($D49,'2022Data to Complete Appendix C'!$C$8:$Q$313,12,FALSE)</f>
        <v>0.772675</v>
      </c>
      <c r="Q49" s="115">
        <f>VLOOKUP($D49,'2022Data to Complete Appendix C'!$C$8:$Q$313,13,FALSE)</f>
        <v>0.54900000000000004</v>
      </c>
      <c r="R49" s="114">
        <f>VLOOKUP($D49,'2022Data to Complete Appendix C'!$C$8:$Q$313,14,FALSE)</f>
        <v>2.2999999999999998</v>
      </c>
      <c r="S49" s="115">
        <f>VLOOKUP($D49,'2022Data to Complete Appendix C'!$C$8:$Q$313,15,FALSE)</f>
        <v>-0.404308</v>
      </c>
      <c r="T49" s="12">
        <f>IFERROR(VLOOKUP($D49,'2022LodgingbyWUP'!$A$1:$D$98,4,FALSE),0)</f>
        <v>3</v>
      </c>
      <c r="U49" s="12">
        <f t="shared" si="0"/>
        <v>3.7881000000000005</v>
      </c>
      <c r="V49" s="12">
        <f>IFERROR(VLOOKUP($D49,Total_DU!$B$5:$Z$174,22,0),0)</f>
        <v>1992</v>
      </c>
      <c r="W49" s="12">
        <f>IFERROR(VLOOKUP($D49,Total_DU!$B$5:$Z$174,23,0),0)</f>
        <v>2012</v>
      </c>
      <c r="X49" s="12">
        <f>IFERROR(VLOOKUP($D49,Total_DU!$B$5:$Z$174,24,0),0)</f>
        <v>2047</v>
      </c>
      <c r="Y49" s="12">
        <f>IFERROR(VLOOKUP($D49,Total_DU!$B$5:$Z$174,25,0),0)</f>
        <v>2107</v>
      </c>
      <c r="Z49" s="12">
        <f>IFERROR(VLOOKUP($D49,Population!$B$5:$Y$174,21,FALSE),0)</f>
        <v>4415.2932629125198</v>
      </c>
      <c r="AA49" s="12">
        <f>IFERROR(VLOOKUP($D49,Population!$B$5:$Y$174,22,FALSE),0)</f>
        <v>4459.6236868382184</v>
      </c>
      <c r="AB49" s="12">
        <f>IFERROR(VLOOKUP($D49,Population!$B$5:$Y$174,23,FALSE),0)</f>
        <v>4537.2015972012023</v>
      </c>
      <c r="AC49" s="12">
        <f>IFERROR(VLOOKUP($D49,Population!$B$5:$Y$174,24,FALSE),0)</f>
        <v>4670</v>
      </c>
    </row>
    <row r="50" spans="1:29" ht="15" x14ac:dyDescent="0.25">
      <c r="A50" s="11" t="s">
        <v>27</v>
      </c>
      <c r="B50" s="11" t="s">
        <v>532</v>
      </c>
      <c r="C50" s="11" t="s">
        <v>169</v>
      </c>
      <c r="D50" s="11">
        <v>5270</v>
      </c>
      <c r="E50" s="11">
        <v>2022</v>
      </c>
      <c r="F50" s="12">
        <f>VLOOKUP($D50,'2022Data to Complete Appendix C'!$C$8:$Q$313,2,FALSE)</f>
        <v>13104</v>
      </c>
      <c r="G50" s="12">
        <f>VLOOKUP($D50,'2022Data to Complete Appendix C'!$C$8:$Q$313,3,FALSE)</f>
        <v>5752</v>
      </c>
      <c r="H50" s="12">
        <f>VLOOKUP($D50,'2022Data to Complete Appendix C'!$C$8:$Q$313,4,FALSE)</f>
        <v>261</v>
      </c>
      <c r="I50" s="12">
        <f>VLOOKUP($D50,'2022Data to Complete Appendix C'!$C$8:$Q$313,5,FALSE)</f>
        <v>8034</v>
      </c>
      <c r="J50" s="114">
        <f>VLOOKUP($D50,'2022Data to Complete Appendix C'!$C$8:$Q$313,6,FALSE)</f>
        <v>2.2781600000000002</v>
      </c>
      <c r="K50" s="114">
        <f>VLOOKUP($D50,'2022Data to Complete Appendix C'!$C$8:$Q$313,7,FALSE)</f>
        <v>1.95</v>
      </c>
      <c r="L50" s="114">
        <f>VLOOKUP($D50,'2022Data to Complete Appendix C'!$C$8:$Q$313,8,FALSE)</f>
        <v>1.15096</v>
      </c>
      <c r="M50" s="12">
        <f>VLOOKUP($D50,'2022Data to Complete Appendix C'!$C$8:$Q$313,9,FALSE)</f>
        <v>1014.48</v>
      </c>
      <c r="N50" s="114">
        <f>VLOOKUP($D50,'2022Data to Complete Appendix C'!$C$8:$Q$313,10,FALSE)</f>
        <v>0.14992800000000001</v>
      </c>
      <c r="O50" s="115">
        <f>VLOOKUP($D50,'2022Data to Complete Appendix C'!$C$8:$Q$313,11,FALSE)</f>
        <v>0.56699999999999995</v>
      </c>
      <c r="P50" s="115">
        <f>VLOOKUP($D50,'2022Data to Complete Appendix C'!$C$8:$Q$313,12,FALSE)</f>
        <v>0.772675</v>
      </c>
      <c r="Q50" s="115">
        <f>VLOOKUP($D50,'2022Data to Complete Appendix C'!$C$8:$Q$313,13,FALSE)</f>
        <v>0.54900000000000004</v>
      </c>
      <c r="R50" s="114">
        <f>VLOOKUP($D50,'2022Data to Complete Appendix C'!$C$8:$Q$313,14,FALSE)</f>
        <v>2.2999999999999998</v>
      </c>
      <c r="S50" s="115">
        <f>VLOOKUP($D50,'2022Data to Complete Appendix C'!$C$8:$Q$313,15,FALSE)</f>
        <v>-0.40038299999999999</v>
      </c>
      <c r="T50" s="12">
        <f>IFERROR(VLOOKUP($D50,'2022LodgingbyWUP'!$A$1:$D$98,4,FALSE),0)</f>
        <v>326</v>
      </c>
      <c r="U50" s="12">
        <f t="shared" si="0"/>
        <v>411.64019999999999</v>
      </c>
      <c r="V50" s="12">
        <f>IFERROR(VLOOKUP($D50,Total_DU!$B$5:$Z$174,22,0),0)</f>
        <v>3162</v>
      </c>
      <c r="W50" s="12">
        <f>IFERROR(VLOOKUP($D50,Total_DU!$B$5:$Z$174,23,0),0)</f>
        <v>3190</v>
      </c>
      <c r="X50" s="12">
        <f>IFERROR(VLOOKUP($D50,Total_DU!$B$5:$Z$174,24,0),0)</f>
        <v>3203</v>
      </c>
      <c r="Y50" s="12">
        <f>IFERROR(VLOOKUP($D50,Total_DU!$B$5:$Z$174,25,0),0)</f>
        <v>3116</v>
      </c>
      <c r="Z50" s="12">
        <f>IFERROR(VLOOKUP($D50,Population!$B$5:$Y$174,21,FALSE),0)</f>
        <v>7289</v>
      </c>
      <c r="AA50" s="12">
        <f>IFERROR(VLOOKUP($D50,Population!$B$5:$Y$174,22,FALSE),0)</f>
        <v>7315.1161180249828</v>
      </c>
      <c r="AB50" s="12">
        <f>IFERROR(VLOOKUP($D50,Population!$B$5:$Y$174,23,FALSE),0)</f>
        <v>7395.0696288295812</v>
      </c>
      <c r="AC50" s="12">
        <f>IFERROR(VLOOKUP($D50,Population!$B$5:$Y$174,24,FALSE),0)</f>
        <v>7170</v>
      </c>
    </row>
    <row r="51" spans="1:29" ht="15" x14ac:dyDescent="0.25">
      <c r="A51" s="2" t="s">
        <v>27</v>
      </c>
      <c r="B51" s="2" t="s">
        <v>533</v>
      </c>
      <c r="C51" s="2" t="s">
        <v>54</v>
      </c>
      <c r="D51" s="2">
        <v>6029</v>
      </c>
      <c r="E51" s="11">
        <v>2022</v>
      </c>
      <c r="F51" s="12">
        <f>VLOOKUP($D51,'2022Data to Complete Appendix C'!$C$8:$Q$313,2,FALSE)</f>
        <v>17680</v>
      </c>
      <c r="G51" s="12">
        <f>VLOOKUP($D51,'2022Data to Complete Appendix C'!$C$8:$Q$313,3,FALSE)</f>
        <v>7072</v>
      </c>
      <c r="H51" s="12">
        <f>VLOOKUP($D51,'2022Data to Complete Appendix C'!$C$8:$Q$313,4,FALSE)</f>
        <v>360</v>
      </c>
      <c r="I51" s="12">
        <f>VLOOKUP($D51,'2022Data to Complete Appendix C'!$C$8:$Q$313,5,FALSE)</f>
        <v>9050</v>
      </c>
      <c r="J51" s="114">
        <f>VLOOKUP($D51,'2022Data to Complete Appendix C'!$C$8:$Q$313,6,FALSE)</f>
        <v>2.5</v>
      </c>
      <c r="K51" s="114">
        <f>VLOOKUP($D51,'2022Data to Complete Appendix C'!$C$8:$Q$313,7,FALSE)</f>
        <v>1.95</v>
      </c>
      <c r="L51" s="114">
        <f>VLOOKUP($D51,'2022Data to Complete Appendix C'!$C$8:$Q$313,8,FALSE)</f>
        <v>1.08213</v>
      </c>
      <c r="M51" s="12">
        <f>VLOOKUP($D51,'2022Data to Complete Appendix C'!$C$8:$Q$313,9,FALSE)</f>
        <v>744.64499999999998</v>
      </c>
      <c r="N51" s="114">
        <f>VLOOKUP($D51,'2022Data to Complete Appendix C'!$C$8:$Q$313,10,FALSE)</f>
        <v>9.5264100000000004E-2</v>
      </c>
      <c r="O51" s="115">
        <f>VLOOKUP($D51,'2022Data to Complete Appendix C'!$C$8:$Q$313,11,FALSE)</f>
        <v>0.56699999999999995</v>
      </c>
      <c r="P51" s="115">
        <f>VLOOKUP($D51,'2022Data to Complete Appendix C'!$C$8:$Q$313,12,FALSE)</f>
        <v>0.772675</v>
      </c>
      <c r="Q51" s="115">
        <f>VLOOKUP($D51,'2022Data to Complete Appendix C'!$C$8:$Q$313,13,FALSE)</f>
        <v>0.54900000000000004</v>
      </c>
      <c r="R51" s="114">
        <f>VLOOKUP($D51,'2022Data to Complete Appendix C'!$C$8:$Q$313,14,FALSE)</f>
        <v>2.2999999999999998</v>
      </c>
      <c r="S51" s="115">
        <f>VLOOKUP($D51,'2022Data to Complete Appendix C'!$C$8:$Q$313,15,FALSE)</f>
        <v>-0.35646899999999998</v>
      </c>
      <c r="T51" s="12">
        <f>IFERROR(VLOOKUP($D51,'2022LodgingbyWUP'!$A$1:$D$98,4,FALSE),0)</f>
        <v>232</v>
      </c>
      <c r="U51" s="12">
        <f t="shared" si="0"/>
        <v>292.94639999999998</v>
      </c>
      <c r="V51" s="12">
        <f>IFERROR(VLOOKUP($D51,Total_DU!$B$5:$Z$174,22,0),0)</f>
        <v>9012</v>
      </c>
      <c r="W51" s="12">
        <f>IFERROR(VLOOKUP($D51,Total_DU!$B$5:$Z$174,23,0),0)</f>
        <v>9065</v>
      </c>
      <c r="X51" s="12">
        <f>IFERROR(VLOOKUP($D51,Total_DU!$B$5:$Z$174,24,0),0)</f>
        <v>9152</v>
      </c>
      <c r="Y51" s="12">
        <f>IFERROR(VLOOKUP($D51,Total_DU!$B$5:$Z$174,25,0),0)</f>
        <v>9222</v>
      </c>
      <c r="Z51" s="12">
        <f>IFERROR(VLOOKUP($D51,Population!$B$5:$Y$174,21,FALSE),0)</f>
        <v>22356.091580252134</v>
      </c>
      <c r="AA51" s="12">
        <f>IFERROR(VLOOKUP($D51,Population!$B$5:$Y$174,22,FALSE),0)</f>
        <v>22456.879951019604</v>
      </c>
      <c r="AB51" s="12">
        <f>IFERROR(VLOOKUP($D51,Population!$B$5:$Y$174,23,FALSE),0)</f>
        <v>22645.061707407211</v>
      </c>
      <c r="AC51" s="12">
        <f>IFERROR(VLOOKUP($D51,Population!$B$5:$Y$174,24,FALSE),0)</f>
        <v>22789</v>
      </c>
    </row>
    <row r="52" spans="1:29" ht="15" x14ac:dyDescent="0.25">
      <c r="A52" s="2" t="s">
        <v>27</v>
      </c>
      <c r="B52" s="2" t="s">
        <v>715</v>
      </c>
      <c r="C52" s="2" t="s">
        <v>713</v>
      </c>
      <c r="D52" s="2">
        <v>6456</v>
      </c>
      <c r="E52" s="11">
        <v>2022</v>
      </c>
      <c r="F52" s="12">
        <f>VLOOKUP($D52,'2022Data to Complete Appendix C'!$C$8:$Q$313,2,FALSE)</f>
        <v>454</v>
      </c>
      <c r="G52" s="12">
        <f>VLOOKUP($D52,'2022Data to Complete Appendix C'!$C$8:$Q$313,3,FALSE)</f>
        <v>279</v>
      </c>
      <c r="H52" s="12">
        <f>VLOOKUP($D52,'2022Data to Complete Appendix C'!$C$8:$Q$313,4,FALSE)</f>
        <v>0</v>
      </c>
      <c r="I52" s="12">
        <f>VLOOKUP($D52,'2022Data to Complete Appendix C'!$C$8:$Q$313,5,FALSE)</f>
        <v>357</v>
      </c>
      <c r="J52" s="114">
        <f>VLOOKUP($D52,'2022Data to Complete Appendix C'!$C$8:$Q$313,6,FALSE)</f>
        <v>1.62724</v>
      </c>
      <c r="K52" s="114">
        <f>VLOOKUP($D52,'2022Data to Complete Appendix C'!$C$8:$Q$313,7,FALSE)</f>
        <v>1.95</v>
      </c>
      <c r="L52" s="114">
        <f>VLOOKUP($D52,'2022Data to Complete Appendix C'!$C$8:$Q$313,8,FALSE)</f>
        <v>1.15096</v>
      </c>
      <c r="M52" s="12">
        <f>VLOOKUP($D52,'2022Data to Complete Appendix C'!$C$8:$Q$313,9,FALSE)</f>
        <v>35.1477</v>
      </c>
      <c r="N52" s="114">
        <f>VLOOKUP($D52,'2022Data to Complete Appendix C'!$C$8:$Q$313,10,FALSE)</f>
        <v>0.111883</v>
      </c>
      <c r="O52" s="115">
        <f>VLOOKUP($D52,'2022Data to Complete Appendix C'!$C$8:$Q$313,11,FALSE)</f>
        <v>0.56699999999999995</v>
      </c>
      <c r="P52" s="115">
        <f>VLOOKUP($D52,'2022Data to Complete Appendix C'!$C$8:$Q$313,12,FALSE)</f>
        <v>0.772675</v>
      </c>
      <c r="Q52" s="115">
        <f>VLOOKUP($D52,'2022Data to Complete Appendix C'!$C$8:$Q$313,13,FALSE)</f>
        <v>0.54900000000000004</v>
      </c>
      <c r="R52" s="114">
        <f>VLOOKUP($D52,'2022Data to Complete Appendix C'!$C$8:$Q$313,14,FALSE)</f>
        <v>2.2999999999999998</v>
      </c>
      <c r="S52" s="115">
        <f>VLOOKUP($D52,'2022Data to Complete Appendix C'!$C$8:$Q$313,15,FALSE)</f>
        <v>-0.369537</v>
      </c>
      <c r="T52" s="12">
        <f>IFERROR(VLOOKUP($D52,'2022LodgingbyWUP'!$A$1:$D$98,4,FALSE),0)</f>
        <v>0</v>
      </c>
      <c r="U52" s="12">
        <f t="shared" si="0"/>
        <v>0</v>
      </c>
      <c r="V52" s="12">
        <f>IFERROR(VLOOKUP($D52,Total_DU!$B$5:$Z$174,22,0),0)</f>
        <v>0</v>
      </c>
      <c r="W52" s="12">
        <f>IFERROR(VLOOKUP($D52,Total_DU!$B$5:$Z$174,23,0),0)</f>
        <v>0</v>
      </c>
      <c r="X52" s="12">
        <f>IFERROR(VLOOKUP($D52,Total_DU!$B$5:$Z$174,24,0),0)</f>
        <v>0</v>
      </c>
      <c r="Y52" s="12">
        <f>IFERROR(VLOOKUP($D52,Total_DU!$B$5:$Z$174,25,0),0)</f>
        <v>0</v>
      </c>
      <c r="Z52" s="12">
        <f>IFERROR(VLOOKUP($D52,Population!$B$5:$Y$174,21,FALSE),0)</f>
        <v>0</v>
      </c>
      <c r="AA52" s="12">
        <f>IFERROR(VLOOKUP($D52,Population!$B$5:$Y$174,22,FALSE),0)</f>
        <v>0</v>
      </c>
      <c r="AB52" s="12">
        <f>IFERROR(VLOOKUP($D52,Population!$B$5:$Y$174,23,FALSE),0)</f>
        <v>0</v>
      </c>
      <c r="AC52" s="12">
        <f>IFERROR(VLOOKUP($D52,Population!$B$5:$Y$174,24,FALSE),0)</f>
        <v>0</v>
      </c>
    </row>
    <row r="53" spans="1:29" ht="15" x14ac:dyDescent="0.25">
      <c r="A53" s="11" t="s">
        <v>27</v>
      </c>
      <c r="B53" s="11" t="s">
        <v>534</v>
      </c>
      <c r="C53" s="11" t="s">
        <v>41</v>
      </c>
      <c r="D53" s="11">
        <v>7139</v>
      </c>
      <c r="E53" s="11">
        <v>2022</v>
      </c>
      <c r="F53" s="12">
        <f>VLOOKUP($D53,'2022Data to Complete Appendix C'!$C$8:$Q$313,2,FALSE)</f>
        <v>1136</v>
      </c>
      <c r="G53" s="12">
        <f>VLOOKUP($D53,'2022Data to Complete Appendix C'!$C$8:$Q$313,3,FALSE)</f>
        <v>654</v>
      </c>
      <c r="H53" s="12">
        <f>VLOOKUP($D53,'2022Data to Complete Appendix C'!$C$8:$Q$313,4,FALSE)</f>
        <v>0</v>
      </c>
      <c r="I53" s="12">
        <f>VLOOKUP($D53,'2022Data to Complete Appendix C'!$C$8:$Q$313,5,FALSE)</f>
        <v>855</v>
      </c>
      <c r="J53" s="114">
        <f>VLOOKUP($D53,'2022Data to Complete Appendix C'!$C$8:$Q$313,6,FALSE)</f>
        <v>1.7370000000000001</v>
      </c>
      <c r="K53" s="114">
        <f>VLOOKUP($D53,'2022Data to Complete Appendix C'!$C$8:$Q$313,7,FALSE)</f>
        <v>1.95</v>
      </c>
      <c r="L53" s="114">
        <f>VLOOKUP($D53,'2022Data to Complete Appendix C'!$C$8:$Q$313,8,FALSE)</f>
        <v>1.1291800000000001</v>
      </c>
      <c r="M53" s="12">
        <f>VLOOKUP($D53,'2022Data to Complete Appendix C'!$C$8:$Q$313,9,FALSE)</f>
        <v>75.253900000000002</v>
      </c>
      <c r="N53" s="114">
        <f>VLOOKUP($D53,'2022Data to Complete Appendix C'!$C$8:$Q$313,10,FALSE)</f>
        <v>0.10319300000000001</v>
      </c>
      <c r="O53" s="115">
        <f>VLOOKUP($D53,'2022Data to Complete Appendix C'!$C$8:$Q$313,11,FALSE)</f>
        <v>0.56699999999999995</v>
      </c>
      <c r="P53" s="115">
        <f>VLOOKUP($D53,'2022Data to Complete Appendix C'!$C$8:$Q$313,12,FALSE)</f>
        <v>0.772675</v>
      </c>
      <c r="Q53" s="115">
        <f>VLOOKUP($D53,'2022Data to Complete Appendix C'!$C$8:$Q$313,13,FALSE)</f>
        <v>0.54900000000000004</v>
      </c>
      <c r="R53" s="114">
        <f>VLOOKUP($D53,'2022Data to Complete Appendix C'!$C$8:$Q$313,14,FALSE)</f>
        <v>2.2999999999999998</v>
      </c>
      <c r="S53" s="115">
        <f>VLOOKUP($D53,'2022Data to Complete Appendix C'!$C$8:$Q$313,15,FALSE)</f>
        <v>9.0639399999999995E-2</v>
      </c>
      <c r="T53" s="12">
        <f>IFERROR(VLOOKUP($D53,'2022LodgingbyWUP'!$A$1:$D$98,4,FALSE),0)</f>
        <v>0</v>
      </c>
      <c r="U53" s="12">
        <f t="shared" si="0"/>
        <v>0</v>
      </c>
      <c r="V53" s="12">
        <f>IFERROR(VLOOKUP($D53,Total_DU!$B$5:$Z$174,22,0),0)</f>
        <v>959</v>
      </c>
      <c r="W53" s="12">
        <f>IFERROR(VLOOKUP($D53,Total_DU!$B$5:$Z$174,23,0),0)</f>
        <v>959</v>
      </c>
      <c r="X53" s="12">
        <f>IFERROR(VLOOKUP($D53,Total_DU!$B$5:$Z$174,24,0),0)</f>
        <v>940</v>
      </c>
      <c r="Y53" s="12">
        <f>IFERROR(VLOOKUP($D53,Total_DU!$B$5:$Z$174,25,0),0)</f>
        <v>940</v>
      </c>
      <c r="Z53" s="12">
        <f>IFERROR(VLOOKUP($D53,Population!$B$5:$Y$174,21,FALSE),0)</f>
        <v>1646</v>
      </c>
      <c r="AA53" s="12">
        <f>IFERROR(VLOOKUP($D53,Population!$B$5:$Y$174,22,FALSE),0)</f>
        <v>1664</v>
      </c>
      <c r="AB53" s="12">
        <f>IFERROR(VLOOKUP($D53,Population!$B$5:$Y$174,23,FALSE),0)</f>
        <v>1630.7276671415866</v>
      </c>
      <c r="AC53" s="12">
        <f>IFERROR(VLOOKUP($D53,Population!$B$5:$Y$174,24,FALSE),0)</f>
        <v>1631</v>
      </c>
    </row>
    <row r="54" spans="1:29" ht="15" x14ac:dyDescent="0.25">
      <c r="A54" s="2" t="s">
        <v>27</v>
      </c>
      <c r="B54" s="2" t="s">
        <v>535</v>
      </c>
      <c r="C54" s="2" t="s">
        <v>99</v>
      </c>
      <c r="D54" s="2">
        <v>7704</v>
      </c>
      <c r="E54" s="11">
        <v>2022</v>
      </c>
      <c r="F54" s="12">
        <f>VLOOKUP($D54,'2022Data to Complete Appendix C'!$C$8:$Q$313,2,FALSE)</f>
        <v>800</v>
      </c>
      <c r="G54" s="12">
        <f>VLOOKUP($D54,'2022Data to Complete Appendix C'!$C$8:$Q$313,3,FALSE)</f>
        <v>345</v>
      </c>
      <c r="H54" s="12">
        <f>VLOOKUP($D54,'2022Data to Complete Appendix C'!$C$8:$Q$313,4,FALSE)</f>
        <v>0</v>
      </c>
      <c r="I54" s="12">
        <f>VLOOKUP($D54,'2022Data to Complete Appendix C'!$C$8:$Q$313,5,FALSE)</f>
        <v>402</v>
      </c>
      <c r="J54" s="114">
        <f>VLOOKUP($D54,'2022Data to Complete Appendix C'!$C$8:$Q$313,6,FALSE)</f>
        <v>2.3188399999999998</v>
      </c>
      <c r="K54" s="114">
        <f>VLOOKUP($D54,'2022Data to Complete Appendix C'!$C$8:$Q$313,7,FALSE)</f>
        <v>1.95</v>
      </c>
      <c r="L54" s="114">
        <f>VLOOKUP($D54,'2022Data to Complete Appendix C'!$C$8:$Q$313,8,FALSE)</f>
        <v>1.12788</v>
      </c>
      <c r="M54" s="12">
        <f>VLOOKUP($D54,'2022Data to Complete Appendix C'!$C$8:$Q$313,9,FALSE)</f>
        <v>52.463200000000001</v>
      </c>
      <c r="N54" s="114">
        <f>VLOOKUP($D54,'2022Data to Complete Appendix C'!$C$8:$Q$313,10,FALSE)</f>
        <v>0.131995</v>
      </c>
      <c r="O54" s="115">
        <f>VLOOKUP($D54,'2022Data to Complete Appendix C'!$C$8:$Q$313,11,FALSE)</f>
        <v>0.56699999999999995</v>
      </c>
      <c r="P54" s="115">
        <f>VLOOKUP($D54,'2022Data to Complete Appendix C'!$C$8:$Q$313,12,FALSE)</f>
        <v>0.772675</v>
      </c>
      <c r="Q54" s="115">
        <f>VLOOKUP($D54,'2022Data to Complete Appendix C'!$C$8:$Q$313,13,FALSE)</f>
        <v>0.54900000000000004</v>
      </c>
      <c r="R54" s="114">
        <f>VLOOKUP($D54,'2022Data to Complete Appendix C'!$C$8:$Q$313,14,FALSE)</f>
        <v>2.2999999999999998</v>
      </c>
      <c r="S54" s="115">
        <f>VLOOKUP($D54,'2022Data to Complete Appendix C'!$C$8:$Q$313,15,FALSE)</f>
        <v>-0.67469000000000001</v>
      </c>
      <c r="T54" s="12">
        <f>IFERROR(VLOOKUP($D54,'2022LodgingbyWUP'!$A$1:$D$98,4,FALSE),0)</f>
        <v>0</v>
      </c>
      <c r="U54" s="12">
        <f t="shared" si="0"/>
        <v>0</v>
      </c>
      <c r="V54" s="12" t="str">
        <f>IFERROR(VLOOKUP($D54,Total_DU!$B$5:$Z$174,22,0),0)</f>
        <v>NA</v>
      </c>
      <c r="W54" s="12" t="str">
        <f>IFERROR(VLOOKUP($D54,Total_DU!$B$5:$Z$174,23,0),0)</f>
        <v>NA</v>
      </c>
      <c r="X54" s="12" t="str">
        <f>IFERROR(VLOOKUP($D54,Total_DU!$B$5:$Z$174,24,0),0)</f>
        <v>NA</v>
      </c>
      <c r="Y54" s="12" t="str">
        <f>IFERROR(VLOOKUP($D54,Total_DU!$B$5:$Z$174,25,0),0)</f>
        <v>NA</v>
      </c>
      <c r="Z54" s="12" t="str">
        <f>IFERROR(VLOOKUP($D54,Population!$B$5:$Y$174,21,FALSE),0)</f>
        <v>NA</v>
      </c>
      <c r="AA54" s="12" t="str">
        <f>IFERROR(VLOOKUP($D54,Population!$B$5:$Y$174,22,FALSE),0)</f>
        <v>NA</v>
      </c>
      <c r="AB54" s="12" t="str">
        <f>IFERROR(VLOOKUP($D54,Population!$B$5:$Y$174,23,FALSE),0)</f>
        <v>NA</v>
      </c>
      <c r="AC54" s="12" t="str">
        <f>IFERROR(VLOOKUP($D54,Population!$B$5:$Y$174,24,FALSE),0)</f>
        <v>NA</v>
      </c>
    </row>
    <row r="55" spans="1:29" ht="15" x14ac:dyDescent="0.25">
      <c r="A55" s="11" t="s">
        <v>27</v>
      </c>
      <c r="B55" s="11" t="s">
        <v>536</v>
      </c>
      <c r="C55" s="11" t="s">
        <v>481</v>
      </c>
      <c r="D55" s="11">
        <v>9140</v>
      </c>
      <c r="E55" s="11">
        <v>2022</v>
      </c>
      <c r="F55" s="12">
        <f>VLOOKUP($D55,'2022Data to Complete Appendix C'!$C$8:$Q$313,2,FALSE)</f>
        <v>15</v>
      </c>
      <c r="G55" s="12">
        <f>VLOOKUP($D55,'2022Data to Complete Appendix C'!$C$8:$Q$313,3,FALSE)</f>
        <v>6</v>
      </c>
      <c r="H55" s="12">
        <f>VLOOKUP($D55,'2022Data to Complete Appendix C'!$C$8:$Q$313,4,FALSE)</f>
        <v>0</v>
      </c>
      <c r="I55" s="12">
        <f>VLOOKUP($D55,'2022Data to Complete Appendix C'!$C$8:$Q$313,5,FALSE)</f>
        <v>6</v>
      </c>
      <c r="J55" s="114">
        <f>VLOOKUP($D55,'2022Data to Complete Appendix C'!$C$8:$Q$313,6,FALSE)</f>
        <v>2.5</v>
      </c>
      <c r="K55" s="114">
        <f>VLOOKUP($D55,'2022Data to Complete Appendix C'!$C$8:$Q$313,7,FALSE)</f>
        <v>1.95</v>
      </c>
      <c r="L55" s="114">
        <f>VLOOKUP($D55,'2022Data to Complete Appendix C'!$C$8:$Q$313,8,FALSE)</f>
        <v>1.12788</v>
      </c>
      <c r="M55" s="12">
        <f>VLOOKUP($D55,'2022Data to Complete Appendix C'!$C$8:$Q$313,9,FALSE)</f>
        <v>0.98368500000000003</v>
      </c>
      <c r="N55" s="114">
        <f>VLOOKUP($D55,'2022Data to Complete Appendix C'!$C$8:$Q$313,10,FALSE)</f>
        <v>0.14085500000000001</v>
      </c>
      <c r="O55" s="115">
        <f>VLOOKUP($D55,'2022Data to Complete Appendix C'!$C$8:$Q$313,11,FALSE)</f>
        <v>0.56699999999999995</v>
      </c>
      <c r="P55" s="115">
        <f>VLOOKUP($D55,'2022Data to Complete Appendix C'!$C$8:$Q$313,12,FALSE)</f>
        <v>0.772675</v>
      </c>
      <c r="Q55" s="115">
        <f>VLOOKUP($D55,'2022Data to Complete Appendix C'!$C$8:$Q$313,13,FALSE)</f>
        <v>0.54900000000000004</v>
      </c>
      <c r="R55" s="114">
        <f>VLOOKUP($D55,'2022Data to Complete Appendix C'!$C$8:$Q$313,14,FALSE)</f>
        <v>2.2999999999999998</v>
      </c>
      <c r="S55" s="115">
        <f>VLOOKUP($D55,'2022Data to Complete Appendix C'!$C$8:$Q$313,15,FALSE)</f>
        <v>9.0639399999999995E-2</v>
      </c>
      <c r="T55" s="12">
        <f>IFERROR(VLOOKUP($D55,'2022LodgingbyWUP'!$A$1:$D$98,4,FALSE),0)</f>
        <v>0</v>
      </c>
      <c r="U55" s="12">
        <f t="shared" si="0"/>
        <v>0</v>
      </c>
      <c r="V55" s="12" t="str">
        <f>IFERROR(VLOOKUP($D55,Total_DU!$B$5:$Z$174,22,0),0)</f>
        <v>NA</v>
      </c>
      <c r="W55" s="12" t="str">
        <f>IFERROR(VLOOKUP($D55,Total_DU!$B$5:$Z$174,23,0),0)</f>
        <v>NA</v>
      </c>
      <c r="X55" s="12" t="str">
        <f>IFERROR(VLOOKUP($D55,Total_DU!$B$5:$Z$174,24,0),0)</f>
        <v>NA</v>
      </c>
      <c r="Y55" s="12" t="str">
        <f>IFERROR(VLOOKUP($D55,Total_DU!$B$5:$Z$174,25,0),0)</f>
        <v>NA</v>
      </c>
      <c r="Z55" s="12" t="str">
        <f>IFERROR(VLOOKUP($D55,Population!$B$5:$Y$174,21,FALSE),0)</f>
        <v>NA</v>
      </c>
      <c r="AA55" s="12" t="str">
        <f>IFERROR(VLOOKUP($D55,Population!$B$5:$Y$174,22,FALSE),0)</f>
        <v>NA</v>
      </c>
      <c r="AB55" s="12" t="str">
        <f>IFERROR(VLOOKUP($D55,Population!$B$5:$Y$174,23,FALSE),0)</f>
        <v>NA</v>
      </c>
      <c r="AC55" s="12" t="str">
        <f>IFERROR(VLOOKUP($D55,Population!$B$5:$Y$174,24,FALSE),0)</f>
        <v>NA</v>
      </c>
    </row>
    <row r="56" spans="1:29" ht="15" x14ac:dyDescent="0.25">
      <c r="A56" s="2" t="s">
        <v>27</v>
      </c>
      <c r="B56" s="2" t="s">
        <v>537</v>
      </c>
      <c r="C56" s="2" t="s">
        <v>17</v>
      </c>
      <c r="D56" s="2">
        <v>9490</v>
      </c>
      <c r="E56" s="11">
        <v>2022</v>
      </c>
      <c r="F56" s="12">
        <f>VLOOKUP($D56,'2022Data to Complete Appendix C'!$C$8:$Q$313,2,FALSE)</f>
        <v>401</v>
      </c>
      <c r="G56" s="12">
        <f>VLOOKUP($D56,'2022Data to Complete Appendix C'!$C$8:$Q$313,3,FALSE)</f>
        <v>229</v>
      </c>
      <c r="H56" s="12">
        <f>VLOOKUP($D56,'2022Data to Complete Appendix C'!$C$8:$Q$313,4,FALSE)</f>
        <v>0</v>
      </c>
      <c r="I56" s="12">
        <f>VLOOKUP($D56,'2022Data to Complete Appendix C'!$C$8:$Q$313,5,FALSE)</f>
        <v>480</v>
      </c>
      <c r="J56" s="114">
        <f>VLOOKUP($D56,'2022Data to Complete Appendix C'!$C$8:$Q$313,6,FALSE)</f>
        <v>1.75109</v>
      </c>
      <c r="K56" s="114">
        <f>VLOOKUP($D56,'2022Data to Complete Appendix C'!$C$8:$Q$313,7,FALSE)</f>
        <v>1.95</v>
      </c>
      <c r="L56" s="114">
        <f>VLOOKUP($D56,'2022Data to Complete Appendix C'!$C$8:$Q$313,8,FALSE)</f>
        <v>1.15096</v>
      </c>
      <c r="M56" s="12">
        <f>VLOOKUP($D56,'2022Data to Complete Appendix C'!$C$8:$Q$313,9,FALSE)</f>
        <v>31.044599999999999</v>
      </c>
      <c r="N56" s="114">
        <f>VLOOKUP($D56,'2022Data to Complete Appendix C'!$C$8:$Q$313,10,FALSE)</f>
        <v>0.119382</v>
      </c>
      <c r="O56" s="115">
        <f>VLOOKUP($D56,'2022Data to Complete Appendix C'!$C$8:$Q$313,11,FALSE)</f>
        <v>0.56699999999999995</v>
      </c>
      <c r="P56" s="115">
        <f>VLOOKUP($D56,'2022Data to Complete Appendix C'!$C$8:$Q$313,12,FALSE)</f>
        <v>0.772675</v>
      </c>
      <c r="Q56" s="115">
        <f>VLOOKUP($D56,'2022Data to Complete Appendix C'!$C$8:$Q$313,13,FALSE)</f>
        <v>0.54900000000000004</v>
      </c>
      <c r="R56" s="114">
        <f>VLOOKUP($D56,'2022Data to Complete Appendix C'!$C$8:$Q$313,14,FALSE)</f>
        <v>2.2999999999999998</v>
      </c>
      <c r="S56" s="115">
        <f>VLOOKUP($D56,'2022Data to Complete Appendix C'!$C$8:$Q$313,15,FALSE)</f>
        <v>-0.407744</v>
      </c>
      <c r="T56" s="12">
        <f>IFERROR(VLOOKUP($D56,'2022LodgingbyWUP'!$A$1:$D$98,4,FALSE),0)</f>
        <v>0</v>
      </c>
      <c r="U56" s="12">
        <f t="shared" si="0"/>
        <v>0</v>
      </c>
      <c r="V56" s="12" t="str">
        <f>IFERROR(VLOOKUP($D56,Total_DU!$B$5:$Z$174,22,0),0)</f>
        <v>NA</v>
      </c>
      <c r="W56" s="12" t="str">
        <f>IFERROR(VLOOKUP($D56,Total_DU!$B$5:$Z$174,23,0),0)</f>
        <v>NA</v>
      </c>
      <c r="X56" s="12" t="str">
        <f>IFERROR(VLOOKUP($D56,Total_DU!$B$5:$Z$174,24,0),0)</f>
        <v>NA</v>
      </c>
      <c r="Y56" s="12" t="str">
        <f>IFERROR(VLOOKUP($D56,Total_DU!$B$5:$Z$174,25,0),0)</f>
        <v>NA</v>
      </c>
      <c r="Z56" s="12" t="str">
        <f>IFERROR(VLOOKUP($D56,Population!$B$5:$Y$174,21,FALSE),0)</f>
        <v>NA</v>
      </c>
      <c r="AA56" s="12" t="str">
        <f>IFERROR(VLOOKUP($D56,Population!$B$5:$Y$174,22,FALSE),0)</f>
        <v>NA</v>
      </c>
      <c r="AB56" s="12" t="str">
        <f>IFERROR(VLOOKUP($D56,Population!$B$5:$Y$174,23,FALSE),0)</f>
        <v>NA</v>
      </c>
      <c r="AC56" s="12" t="str">
        <f>IFERROR(VLOOKUP($D56,Population!$B$5:$Y$174,24,FALSE),0)</f>
        <v>NA</v>
      </c>
    </row>
    <row r="57" spans="1:29" ht="15" x14ac:dyDescent="0.25">
      <c r="A57" s="2" t="s">
        <v>27</v>
      </c>
      <c r="B57" s="2" t="s">
        <v>538</v>
      </c>
      <c r="C57" s="2" t="s">
        <v>156</v>
      </c>
      <c r="D57" s="2">
        <v>13099</v>
      </c>
      <c r="E57" s="11">
        <v>2022</v>
      </c>
      <c r="F57" s="12">
        <f>VLOOKUP($D57,'2022Data to Complete Appendix C'!$C$8:$Q$313,2,FALSE)</f>
        <v>6166</v>
      </c>
      <c r="G57" s="12">
        <f>VLOOKUP($D57,'2022Data to Complete Appendix C'!$C$8:$Q$313,3,FALSE)</f>
        <v>2813</v>
      </c>
      <c r="H57" s="12">
        <f>VLOOKUP($D57,'2022Data to Complete Appendix C'!$C$8:$Q$313,4,FALSE)</f>
        <v>47</v>
      </c>
      <c r="I57" s="12">
        <f>VLOOKUP($D57,'2022Data to Complete Appendix C'!$C$8:$Q$313,5,FALSE)</f>
        <v>3601</v>
      </c>
      <c r="J57" s="114">
        <f>VLOOKUP($D57,'2022Data to Complete Appendix C'!$C$8:$Q$313,6,FALSE)</f>
        <v>2.19197</v>
      </c>
      <c r="K57" s="114">
        <f>VLOOKUP($D57,'2022Data to Complete Appendix C'!$C$8:$Q$313,7,FALSE)</f>
        <v>1.95</v>
      </c>
      <c r="L57" s="114">
        <f>VLOOKUP($D57,'2022Data to Complete Appendix C'!$C$8:$Q$313,8,FALSE)</f>
        <v>1.21017</v>
      </c>
      <c r="M57" s="12">
        <f>VLOOKUP($D57,'2022Data to Complete Appendix C'!$C$8:$Q$313,9,FALSE)</f>
        <v>664.55600000000004</v>
      </c>
      <c r="N57" s="114">
        <f>VLOOKUP($D57,'2022Data to Complete Appendix C'!$C$8:$Q$313,10,FALSE)</f>
        <v>0.19109899999999999</v>
      </c>
      <c r="O57" s="115">
        <f>VLOOKUP($D57,'2022Data to Complete Appendix C'!$C$8:$Q$313,11,FALSE)</f>
        <v>0.56699999999999995</v>
      </c>
      <c r="P57" s="115">
        <f>VLOOKUP($D57,'2022Data to Complete Appendix C'!$C$8:$Q$313,12,FALSE)</f>
        <v>0.772675</v>
      </c>
      <c r="Q57" s="115">
        <f>VLOOKUP($D57,'2022Data to Complete Appendix C'!$C$8:$Q$313,13,FALSE)</f>
        <v>0.54900000000000004</v>
      </c>
      <c r="R57" s="114">
        <f>VLOOKUP($D57,'2022Data to Complete Appendix C'!$C$8:$Q$313,14,FALSE)</f>
        <v>2.2999999999999998</v>
      </c>
      <c r="S57" s="115">
        <f>VLOOKUP($D57,'2022Data to Complete Appendix C'!$C$8:$Q$313,15,FALSE)</f>
        <v>-0.131332</v>
      </c>
      <c r="T57" s="12">
        <f>IFERROR(VLOOKUP($D57,'2022LodgingbyWUP'!$A$1:$D$98,4,FALSE),0)</f>
        <v>130</v>
      </c>
      <c r="U57" s="12">
        <f t="shared" si="0"/>
        <v>164.15100000000001</v>
      </c>
      <c r="V57" s="12">
        <f>IFERROR(VLOOKUP($D57,Total_DU!$B$5:$Z$174,22,0),0)</f>
        <v>3525</v>
      </c>
      <c r="W57" s="12">
        <f>IFERROR(VLOOKUP($D57,Total_DU!$B$5:$Z$174,23,0),0)</f>
        <v>3560</v>
      </c>
      <c r="X57" s="12">
        <f>IFERROR(VLOOKUP($D57,Total_DU!$B$5:$Z$174,24,0),0)</f>
        <v>3654</v>
      </c>
      <c r="Y57" s="12">
        <f>IFERROR(VLOOKUP($D57,Total_DU!$B$5:$Z$174,25,0),0)</f>
        <v>3782</v>
      </c>
      <c r="Z57" s="12">
        <f>IFERROR(VLOOKUP($D57,Population!$B$5:$Y$174,21,FALSE),0)</f>
        <v>7485.961104820929</v>
      </c>
      <c r="AA57" s="12">
        <f>IFERROR(VLOOKUP($D57,Population!$B$5:$Y$174,22,FALSE),0)</f>
        <v>7542.1387238674461</v>
      </c>
      <c r="AB57" s="12">
        <f>IFERROR(VLOOKUP($D57,Population!$B$5:$Y$174,23,FALSE),0)</f>
        <v>7723.760678175001</v>
      </c>
      <c r="AC57" s="12">
        <f>IFERROR(VLOOKUP($D57,Population!$B$5:$Y$174,24,FALSE),0)</f>
        <v>7977</v>
      </c>
    </row>
    <row r="58" spans="1:29" ht="15" x14ac:dyDescent="0.25">
      <c r="A58" s="11" t="s">
        <v>27</v>
      </c>
      <c r="B58" s="11" t="s">
        <v>539</v>
      </c>
      <c r="C58" s="11" t="s">
        <v>151</v>
      </c>
      <c r="D58" s="11">
        <v>13367</v>
      </c>
      <c r="E58" s="11">
        <v>2022</v>
      </c>
      <c r="F58" s="12">
        <f>VLOOKUP($D58,'2022Data to Complete Appendix C'!$C$8:$Q$313,2,FALSE)</f>
        <v>677</v>
      </c>
      <c r="G58" s="12">
        <f>VLOOKUP($D58,'2022Data to Complete Appendix C'!$C$8:$Q$313,3,FALSE)</f>
        <v>279</v>
      </c>
      <c r="H58" s="12">
        <f>VLOOKUP($D58,'2022Data to Complete Appendix C'!$C$8:$Q$313,4,FALSE)</f>
        <v>0</v>
      </c>
      <c r="I58" s="12">
        <f>VLOOKUP($D58,'2022Data to Complete Appendix C'!$C$8:$Q$313,5,FALSE)</f>
        <v>344</v>
      </c>
      <c r="J58" s="114">
        <f>VLOOKUP($D58,'2022Data to Complete Appendix C'!$C$8:$Q$313,6,FALSE)</f>
        <v>2.42652</v>
      </c>
      <c r="K58" s="114">
        <f>VLOOKUP($D58,'2022Data to Complete Appendix C'!$C$8:$Q$313,7,FALSE)</f>
        <v>1.95</v>
      </c>
      <c r="L58" s="114">
        <f>VLOOKUP($D58,'2022Data to Complete Appendix C'!$C$8:$Q$313,8,FALSE)</f>
        <v>1.1746099999999999</v>
      </c>
      <c r="M58" s="12">
        <f>VLOOKUP($D58,'2022Data to Complete Appendix C'!$C$8:$Q$313,9,FALSE)</f>
        <v>60.622100000000003</v>
      </c>
      <c r="N58" s="114">
        <f>VLOOKUP($D58,'2022Data to Complete Appendix C'!$C$8:$Q$313,10,FALSE)</f>
        <v>0.17849899999999999</v>
      </c>
      <c r="O58" s="115">
        <f>VLOOKUP($D58,'2022Data to Complete Appendix C'!$C$8:$Q$313,11,FALSE)</f>
        <v>0.56699999999999995</v>
      </c>
      <c r="P58" s="115">
        <f>VLOOKUP($D58,'2022Data to Complete Appendix C'!$C$8:$Q$313,12,FALSE)</f>
        <v>0.772675</v>
      </c>
      <c r="Q58" s="115">
        <f>VLOOKUP($D58,'2022Data to Complete Appendix C'!$C$8:$Q$313,13,FALSE)</f>
        <v>0.54900000000000004</v>
      </c>
      <c r="R58" s="114">
        <f>VLOOKUP($D58,'2022Data to Complete Appendix C'!$C$8:$Q$313,14,FALSE)</f>
        <v>2.2999999999999998</v>
      </c>
      <c r="S58" s="115">
        <f>VLOOKUP($D58,'2022Data to Complete Appendix C'!$C$8:$Q$313,15,FALSE)</f>
        <v>-0.18342900000000001</v>
      </c>
      <c r="T58" s="12">
        <f>IFERROR(VLOOKUP($D58,'2022LodgingbyWUP'!$A$1:$D$98,4,FALSE),0)</f>
        <v>0</v>
      </c>
      <c r="U58" s="12">
        <f t="shared" si="0"/>
        <v>0</v>
      </c>
      <c r="V58" s="12">
        <f>IFERROR(VLOOKUP($D58,Total_DU!$B$5:$Z$174,22,0),0)</f>
        <v>0</v>
      </c>
      <c r="W58" s="12">
        <f>IFERROR(VLOOKUP($D58,Total_DU!$B$5:$Z$174,23,0),0)</f>
        <v>0</v>
      </c>
      <c r="X58" s="12">
        <f>IFERROR(VLOOKUP($D58,Total_DU!$B$5:$Z$174,24,0),0)</f>
        <v>0</v>
      </c>
      <c r="Y58" s="12">
        <f>IFERROR(VLOOKUP($D58,Total_DU!$B$5:$Z$174,25,0),0)</f>
        <v>0</v>
      </c>
      <c r="Z58" s="12">
        <f>IFERROR(VLOOKUP($D58,Population!$B$5:$Y$174,21,FALSE),0)</f>
        <v>0</v>
      </c>
      <c r="AA58" s="12">
        <f>IFERROR(VLOOKUP($D58,Population!$B$5:$Y$174,22,FALSE),0)</f>
        <v>0</v>
      </c>
      <c r="AB58" s="12">
        <f>IFERROR(VLOOKUP($D58,Population!$B$5:$Y$174,23,FALSE),0)</f>
        <v>0</v>
      </c>
      <c r="AC58" s="12">
        <f>IFERROR(VLOOKUP($D58,Population!$B$5:$Y$174,24,FALSE),0)</f>
        <v>0</v>
      </c>
    </row>
    <row r="59" spans="1:29" ht="15" x14ac:dyDescent="0.25">
      <c r="A59" s="2" t="s">
        <v>38</v>
      </c>
      <c r="B59" s="2" t="s">
        <v>540</v>
      </c>
      <c r="C59" s="2" t="s">
        <v>88</v>
      </c>
      <c r="D59" s="2">
        <v>450</v>
      </c>
      <c r="E59" s="11">
        <v>2022</v>
      </c>
      <c r="F59" s="12">
        <f>VLOOKUP($D59,'2022Data to Complete Appendix C'!$C$8:$Q$313,2,FALSE)</f>
        <v>33469</v>
      </c>
      <c r="G59" s="12">
        <f>VLOOKUP($D59,'2022Data to Complete Appendix C'!$C$8:$Q$313,3,FALSE)</f>
        <v>14123</v>
      </c>
      <c r="H59" s="12">
        <f>VLOOKUP($D59,'2022Data to Complete Appendix C'!$C$8:$Q$313,4,FALSE)</f>
        <v>384</v>
      </c>
      <c r="I59" s="12">
        <f>VLOOKUP($D59,'2022Data to Complete Appendix C'!$C$8:$Q$313,5,FALSE)</f>
        <v>15813</v>
      </c>
      <c r="J59" s="114">
        <f>VLOOKUP($D59,'2022Data to Complete Appendix C'!$C$8:$Q$313,6,FALSE)</f>
        <v>2.3698199999999998</v>
      </c>
      <c r="K59" s="114">
        <f>VLOOKUP($D59,'2022Data to Complete Appendix C'!$C$8:$Q$313,7,FALSE)</f>
        <v>1.95</v>
      </c>
      <c r="L59" s="114">
        <f>VLOOKUP($D59,'2022Data to Complete Appendix C'!$C$8:$Q$313,8,FALSE)</f>
        <v>1.0128999999999999</v>
      </c>
      <c r="M59" s="12">
        <f>VLOOKUP($D59,'2022Data to Complete Appendix C'!$C$8:$Q$313,9,FALSE)</f>
        <v>221.41</v>
      </c>
      <c r="N59" s="114">
        <f>VLOOKUP($D59,'2022Data to Complete Appendix C'!$C$8:$Q$313,10,FALSE)</f>
        <v>1.5435300000000001E-2</v>
      </c>
      <c r="O59" s="115">
        <f>VLOOKUP($D59,'2022Data to Complete Appendix C'!$C$8:$Q$313,11,FALSE)</f>
        <v>0.56699999999999995</v>
      </c>
      <c r="P59" s="115">
        <f>VLOOKUP($D59,'2022Data to Complete Appendix C'!$C$8:$Q$313,12,FALSE)</f>
        <v>0.772675</v>
      </c>
      <c r="Q59" s="115">
        <f>VLOOKUP($D59,'2022Data to Complete Appendix C'!$C$8:$Q$313,13,FALSE)</f>
        <v>0.66900000000000004</v>
      </c>
      <c r="R59" s="114">
        <f>VLOOKUP($D59,'2022Data to Complete Appendix C'!$C$8:$Q$313,14,FALSE)</f>
        <v>2.2999999999999998</v>
      </c>
      <c r="S59" s="115">
        <f>VLOOKUP($D59,'2022Data to Complete Appendix C'!$C$8:$Q$313,15,FALSE)</f>
        <v>-0.44248700000000002</v>
      </c>
      <c r="T59" s="12">
        <f>IFERROR(VLOOKUP($D59,'2022LodgingbyWUP'!$A$1:$D$98,4,FALSE),0)</f>
        <v>933</v>
      </c>
      <c r="U59" s="12">
        <f t="shared" si="0"/>
        <v>1435.6070999999999</v>
      </c>
      <c r="V59" s="12">
        <f>IFERROR(VLOOKUP($D59,Total_DU!$B$5:$Z$174,22,0),0)</f>
        <v>12426</v>
      </c>
      <c r="W59" s="12">
        <f>IFERROR(VLOOKUP($D59,Total_DU!$B$5:$Z$174,23,0),0)</f>
        <v>12678</v>
      </c>
      <c r="X59" s="12">
        <f>IFERROR(VLOOKUP($D59,Total_DU!$B$5:$Z$174,24,0),0)</f>
        <v>12508</v>
      </c>
      <c r="Y59" s="12">
        <f>IFERROR(VLOOKUP($D59,Total_DU!$B$5:$Z$174,25,0),0)</f>
        <v>12508</v>
      </c>
      <c r="Z59" s="12">
        <f>IFERROR(VLOOKUP($D59,Population!$B$5:$Y$174,21,FALSE),0)</f>
        <v>30896</v>
      </c>
      <c r="AA59" s="12">
        <f>IFERROR(VLOOKUP($D59,Population!$B$5:$Y$174,22,FALSE),0)</f>
        <v>31738.270810899099</v>
      </c>
      <c r="AB59" s="12">
        <f>IFERROR(VLOOKUP($D59,Population!$B$5:$Y$174,23,FALSE),0)</f>
        <v>31340.8490721862</v>
      </c>
      <c r="AC59" s="12">
        <f>IFERROR(VLOOKUP($D59,Population!$B$5:$Y$174,24,FALSE),0)</f>
        <v>30825</v>
      </c>
    </row>
    <row r="60" spans="1:29" ht="15" x14ac:dyDescent="0.25">
      <c r="A60" s="11" t="s">
        <v>38</v>
      </c>
      <c r="B60" s="11" t="s">
        <v>541</v>
      </c>
      <c r="C60" s="11" t="s">
        <v>79</v>
      </c>
      <c r="D60" s="11">
        <v>1776</v>
      </c>
      <c r="E60" s="11">
        <v>2022</v>
      </c>
      <c r="F60" s="12">
        <f>VLOOKUP($D60,'2022Data to Complete Appendix C'!$C$8:$Q$313,2,FALSE)</f>
        <v>46147</v>
      </c>
      <c r="G60" s="12">
        <f>VLOOKUP($D60,'2022Data to Complete Appendix C'!$C$8:$Q$313,3,FALSE)</f>
        <v>16159</v>
      </c>
      <c r="H60" s="12">
        <f>VLOOKUP($D60,'2022Data to Complete Appendix C'!$C$8:$Q$313,4,FALSE)</f>
        <v>596</v>
      </c>
      <c r="I60" s="12">
        <f>VLOOKUP($D60,'2022Data to Complete Appendix C'!$C$8:$Q$313,5,FALSE)</f>
        <v>18102</v>
      </c>
      <c r="J60" s="114">
        <f>VLOOKUP($D60,'2022Data to Complete Appendix C'!$C$8:$Q$313,6,FALSE)</f>
        <v>2.85581</v>
      </c>
      <c r="K60" s="114">
        <f>VLOOKUP($D60,'2022Data to Complete Appendix C'!$C$8:$Q$313,7,FALSE)</f>
        <v>1.95</v>
      </c>
      <c r="L60" s="114">
        <f>VLOOKUP($D60,'2022Data to Complete Appendix C'!$C$8:$Q$313,8,FALSE)</f>
        <v>1.0670999999999999</v>
      </c>
      <c r="M60" s="12">
        <f>VLOOKUP($D60,'2022Data to Complete Appendix C'!$C$8:$Q$313,9,FALSE)</f>
        <v>1588.05</v>
      </c>
      <c r="N60" s="114">
        <f>VLOOKUP($D60,'2022Data to Complete Appendix C'!$C$8:$Q$313,10,FALSE)</f>
        <v>8.9482400000000004E-2</v>
      </c>
      <c r="O60" s="115">
        <f>VLOOKUP($D60,'2022Data to Complete Appendix C'!$C$8:$Q$313,11,FALSE)</f>
        <v>0.56699999999999995</v>
      </c>
      <c r="P60" s="115">
        <f>VLOOKUP($D60,'2022Data to Complete Appendix C'!$C$8:$Q$313,12,FALSE)</f>
        <v>0.772675</v>
      </c>
      <c r="Q60" s="115">
        <f>VLOOKUP($D60,'2022Data to Complete Appendix C'!$C$8:$Q$313,13,FALSE)</f>
        <v>0.66900000000000004</v>
      </c>
      <c r="R60" s="114">
        <f>VLOOKUP($D60,'2022Data to Complete Appendix C'!$C$8:$Q$313,14,FALSE)</f>
        <v>2.2999999999999998</v>
      </c>
      <c r="S60" s="115">
        <f>VLOOKUP($D60,'2022Data to Complete Appendix C'!$C$8:$Q$313,15,FALSE)</f>
        <v>6.1330099999999999E-2</v>
      </c>
      <c r="T60" s="12">
        <f>IFERROR(VLOOKUP($D60,'2022LodgingbyWUP'!$A$1:$D$98,4,FALSE),0)</f>
        <v>589</v>
      </c>
      <c r="U60" s="12">
        <f t="shared" si="0"/>
        <v>906.29429999999991</v>
      </c>
      <c r="V60" s="12">
        <f>IFERROR(VLOOKUP($D60,Total_DU!$B$5:$Z$174,22,0),0)</f>
        <v>14104</v>
      </c>
      <c r="W60" s="12">
        <f>IFERROR(VLOOKUP($D60,Total_DU!$B$5:$Z$174,23,0),0)</f>
        <v>14155</v>
      </c>
      <c r="X60" s="12">
        <f>IFERROR(VLOOKUP($D60,Total_DU!$B$5:$Z$174,24,0),0)</f>
        <v>14770</v>
      </c>
      <c r="Y60" s="12">
        <f>IFERROR(VLOOKUP($D60,Total_DU!$B$5:$Z$174,25,0),0)</f>
        <v>14947</v>
      </c>
      <c r="Z60" s="12">
        <f>IFERROR(VLOOKUP($D60,Population!$B$5:$Y$174,21,FALSE),0)</f>
        <v>40116</v>
      </c>
      <c r="AA60" s="12">
        <f>IFERROR(VLOOKUP($D60,Population!$B$5:$Y$174,22,FALSE),0)</f>
        <v>40248</v>
      </c>
      <c r="AB60" s="12">
        <f>IFERROR(VLOOKUP($D60,Population!$B$5:$Y$174,23,FALSE),0)</f>
        <v>41747</v>
      </c>
      <c r="AC60" s="12">
        <f>IFERROR(VLOOKUP($D60,Population!$B$5:$Y$174,24,FALSE),0)</f>
        <v>42056</v>
      </c>
    </row>
    <row r="61" spans="1:29" ht="15" x14ac:dyDescent="0.25">
      <c r="A61" s="2" t="s">
        <v>38</v>
      </c>
      <c r="B61" s="2" t="s">
        <v>542</v>
      </c>
      <c r="C61" s="2" t="s">
        <v>135</v>
      </c>
      <c r="D61" s="2">
        <v>1787</v>
      </c>
      <c r="E61" s="11">
        <v>2022</v>
      </c>
      <c r="F61" s="12">
        <f>VLOOKUP($D61,'2022Data to Complete Appendix C'!$C$8:$Q$313,2,FALSE)</f>
        <v>719</v>
      </c>
      <c r="G61" s="12">
        <f>VLOOKUP($D61,'2022Data to Complete Appendix C'!$C$8:$Q$313,3,FALSE)</f>
        <v>278</v>
      </c>
      <c r="H61" s="12">
        <f>VLOOKUP($D61,'2022Data to Complete Appendix C'!$C$8:$Q$313,4,FALSE)</f>
        <v>0</v>
      </c>
      <c r="I61" s="12">
        <f>VLOOKUP($D61,'2022Data to Complete Appendix C'!$C$8:$Q$313,5,FALSE)</f>
        <v>302</v>
      </c>
      <c r="J61" s="114">
        <f>VLOOKUP($D61,'2022Data to Complete Appendix C'!$C$8:$Q$313,6,FALSE)</f>
        <v>2.5863299999999998</v>
      </c>
      <c r="K61" s="114">
        <f>VLOOKUP($D61,'2022Data to Complete Appendix C'!$C$8:$Q$313,7,FALSE)</f>
        <v>1.95</v>
      </c>
      <c r="L61" s="114">
        <f>VLOOKUP($D61,'2022Data to Complete Appendix C'!$C$8:$Q$313,8,FALSE)</f>
        <v>1.0018499999999999</v>
      </c>
      <c r="M61" s="12">
        <f>VLOOKUP($D61,'2022Data to Complete Appendix C'!$C$8:$Q$313,9,FALSE)</f>
        <v>0.68360299999999996</v>
      </c>
      <c r="N61" s="114">
        <f>VLOOKUP($D61,'2022Data to Complete Appendix C'!$C$8:$Q$313,10,FALSE)</f>
        <v>2.4529700000000001E-3</v>
      </c>
      <c r="O61" s="115">
        <f>VLOOKUP($D61,'2022Data to Complete Appendix C'!$C$8:$Q$313,11,FALSE)</f>
        <v>0.56699999999999995</v>
      </c>
      <c r="P61" s="115">
        <f>VLOOKUP($D61,'2022Data to Complete Appendix C'!$C$8:$Q$313,12,FALSE)</f>
        <v>0.772675</v>
      </c>
      <c r="Q61" s="115">
        <f>VLOOKUP($D61,'2022Data to Complete Appendix C'!$C$8:$Q$313,13,FALSE)</f>
        <v>0.66900000000000004</v>
      </c>
      <c r="R61" s="114">
        <f>VLOOKUP($D61,'2022Data to Complete Appendix C'!$C$8:$Q$313,14,FALSE)</f>
        <v>2.2999999999999998</v>
      </c>
      <c r="S61" s="115">
        <f>VLOOKUP($D61,'2022Data to Complete Appendix C'!$C$8:$Q$313,15,FALSE)</f>
        <v>-0.55100199999999999</v>
      </c>
      <c r="T61" s="12">
        <f>IFERROR(VLOOKUP($D61,'2022LodgingbyWUP'!$A$1:$D$98,4,FALSE),0)</f>
        <v>1</v>
      </c>
      <c r="U61" s="12">
        <f t="shared" si="0"/>
        <v>1.5387</v>
      </c>
      <c r="V61" s="12">
        <f>IFERROR(VLOOKUP($D61,Total_DU!$B$5:$Z$174,22,0),0)</f>
        <v>0</v>
      </c>
      <c r="W61" s="12">
        <f>IFERROR(VLOOKUP($D61,Total_DU!$B$5:$Z$174,23,0),0)</f>
        <v>0</v>
      </c>
      <c r="X61" s="12">
        <f>IFERROR(VLOOKUP($D61,Total_DU!$B$5:$Z$174,24,0),0)</f>
        <v>0</v>
      </c>
      <c r="Y61" s="12">
        <f>IFERROR(VLOOKUP($D61,Total_DU!$B$5:$Z$174,25,0),0)</f>
        <v>0</v>
      </c>
      <c r="Z61" s="12">
        <f>IFERROR(VLOOKUP($D61,Population!$B$5:$Y$174,21,FALSE),0)</f>
        <v>0</v>
      </c>
      <c r="AA61" s="12">
        <f>IFERROR(VLOOKUP($D61,Population!$B$5:$Y$174,22,FALSE),0)</f>
        <v>0</v>
      </c>
      <c r="AB61" s="12">
        <f>IFERROR(VLOOKUP($D61,Population!$B$5:$Y$174,23,FALSE),0)</f>
        <v>0</v>
      </c>
      <c r="AC61" s="12">
        <f>IFERROR(VLOOKUP($D61,Population!$B$5:$Y$174,24,FALSE),0)</f>
        <v>0</v>
      </c>
    </row>
    <row r="62" spans="1:29" ht="15" x14ac:dyDescent="0.25">
      <c r="A62" s="11" t="s">
        <v>38</v>
      </c>
      <c r="B62" s="11" t="s">
        <v>543</v>
      </c>
      <c r="C62" s="11" t="s">
        <v>86</v>
      </c>
      <c r="D62" s="11">
        <v>2062</v>
      </c>
      <c r="E62" s="11">
        <v>2022</v>
      </c>
      <c r="F62" s="12">
        <f>VLOOKUP($D62,'2022Data to Complete Appendix C'!$C$8:$Q$313,2,FALSE)</f>
        <v>516038</v>
      </c>
      <c r="G62" s="12">
        <f>VLOOKUP($D62,'2022Data to Complete Appendix C'!$C$8:$Q$313,3,FALSE)</f>
        <v>214039</v>
      </c>
      <c r="H62" s="12">
        <f>VLOOKUP($D62,'2022Data to Complete Appendix C'!$C$8:$Q$313,4,FALSE)</f>
        <v>17054</v>
      </c>
      <c r="I62" s="12">
        <f>VLOOKUP($D62,'2022Data to Complete Appendix C'!$C$8:$Q$313,5,FALSE)</f>
        <v>247292</v>
      </c>
      <c r="J62" s="114">
        <f>VLOOKUP($D62,'2022Data to Complete Appendix C'!$C$8:$Q$313,6,FALSE)</f>
        <v>2.4109500000000001</v>
      </c>
      <c r="K62" s="114">
        <f>VLOOKUP($D62,'2022Data to Complete Appendix C'!$C$8:$Q$313,7,FALSE)</f>
        <v>1.95</v>
      </c>
      <c r="L62" s="114">
        <f>VLOOKUP($D62,'2022Data to Complete Appendix C'!$C$8:$Q$313,8,FALSE)</f>
        <v>1.0125</v>
      </c>
      <c r="M62" s="12">
        <f>VLOOKUP($D62,'2022Data to Complete Appendix C'!$C$8:$Q$313,9,FALSE)</f>
        <v>3306.61</v>
      </c>
      <c r="N62" s="114">
        <f>VLOOKUP($D62,'2022Data to Complete Appendix C'!$C$8:$Q$313,10,FALSE)</f>
        <v>1.5213600000000001E-2</v>
      </c>
      <c r="O62" s="115">
        <f>VLOOKUP($D62,'2022Data to Complete Appendix C'!$C$8:$Q$313,11,FALSE)</f>
        <v>0.56699999999999995</v>
      </c>
      <c r="P62" s="115">
        <f>VLOOKUP($D62,'2022Data to Complete Appendix C'!$C$8:$Q$313,12,FALSE)</f>
        <v>0.772675</v>
      </c>
      <c r="Q62" s="115">
        <f>VLOOKUP($D62,'2022Data to Complete Appendix C'!$C$8:$Q$313,13,FALSE)</f>
        <v>0.66900000000000004</v>
      </c>
      <c r="R62" s="114">
        <f>VLOOKUP($D62,'2022Data to Complete Appendix C'!$C$8:$Q$313,14,FALSE)</f>
        <v>2.2999999999999998</v>
      </c>
      <c r="S62" s="115">
        <f>VLOOKUP($D62,'2022Data to Complete Appendix C'!$C$8:$Q$313,15,FALSE)</f>
        <v>0.73428800000000005</v>
      </c>
      <c r="T62" s="12">
        <f>IFERROR(VLOOKUP($D62,'2022LodgingbyWUP'!$A$1:$D$98,4,FALSE),0)</f>
        <v>22490</v>
      </c>
      <c r="U62" s="12">
        <f t="shared" si="0"/>
        <v>34605.362999999998</v>
      </c>
      <c r="V62" s="12">
        <f>IFERROR(VLOOKUP($D62,Total_DU!$B$5:$Z$174,22,0),0)</f>
        <v>223777</v>
      </c>
      <c r="W62" s="12">
        <f>IFERROR(VLOOKUP($D62,Total_DU!$B$5:$Z$174,23,0),0)</f>
        <v>258177</v>
      </c>
      <c r="X62" s="12">
        <f>IFERROR(VLOOKUP($D62,Total_DU!$B$5:$Z$174,24,0),0)</f>
        <v>258393</v>
      </c>
      <c r="Y62" s="12">
        <f>IFERROR(VLOOKUP($D62,Total_DU!$B$5:$Z$174,25,0),0)</f>
        <v>260957</v>
      </c>
      <c r="Z62" s="12">
        <f>IFERROR(VLOOKUP($D62,Population!$B$5:$Y$174,21,FALSE),0)</f>
        <v>624793.72645363538</v>
      </c>
      <c r="AA62" s="12">
        <f>IFERROR(VLOOKUP($D62,Population!$B$5:$Y$174,22,FALSE),0)</f>
        <v>716564</v>
      </c>
      <c r="AB62" s="12">
        <f>IFERROR(VLOOKUP($D62,Population!$B$5:$Y$174,23,FALSE),0)</f>
        <v>719482</v>
      </c>
      <c r="AC62" s="12">
        <f>IFERROR(VLOOKUP($D62,Population!$B$5:$Y$174,24,FALSE),0)</f>
        <v>714114</v>
      </c>
    </row>
    <row r="63" spans="1:29" ht="15" x14ac:dyDescent="0.25">
      <c r="A63" s="2" t="s">
        <v>38</v>
      </c>
      <c r="B63" s="2" t="s">
        <v>544</v>
      </c>
      <c r="C63" s="2" t="s">
        <v>48</v>
      </c>
      <c r="D63" s="2">
        <v>2285</v>
      </c>
      <c r="E63" s="11">
        <v>2022</v>
      </c>
      <c r="F63" s="12">
        <f>VLOOKUP($D63,'2022Data to Complete Appendix C'!$C$8:$Q$313,2,FALSE)</f>
        <v>1949</v>
      </c>
      <c r="G63" s="12">
        <f>VLOOKUP($D63,'2022Data to Complete Appendix C'!$C$8:$Q$313,3,FALSE)</f>
        <v>631</v>
      </c>
      <c r="H63" s="12">
        <f>VLOOKUP($D63,'2022Data to Complete Appendix C'!$C$8:$Q$313,4,FALSE)</f>
        <v>0</v>
      </c>
      <c r="I63" s="12">
        <f>VLOOKUP($D63,'2022Data to Complete Appendix C'!$C$8:$Q$313,5,FALSE)</f>
        <v>673</v>
      </c>
      <c r="J63" s="114">
        <f>VLOOKUP($D63,'2022Data to Complete Appendix C'!$C$8:$Q$313,6,FALSE)</f>
        <v>3.0887500000000001</v>
      </c>
      <c r="K63" s="114">
        <f>VLOOKUP($D63,'2022Data to Complete Appendix C'!$C$8:$Q$313,7,FALSE)</f>
        <v>1.95</v>
      </c>
      <c r="L63" s="114">
        <f>VLOOKUP($D63,'2022Data to Complete Appendix C'!$C$8:$Q$313,8,FALSE)</f>
        <v>1.0171600000000001</v>
      </c>
      <c r="M63" s="12">
        <f>VLOOKUP($D63,'2022Data to Complete Appendix C'!$C$8:$Q$313,9,FALSE)</f>
        <v>17.1462</v>
      </c>
      <c r="N63" s="114">
        <f>VLOOKUP($D63,'2022Data to Complete Appendix C'!$C$8:$Q$313,10,FALSE)</f>
        <v>2.6454200000000001E-2</v>
      </c>
      <c r="O63" s="115">
        <f>VLOOKUP($D63,'2022Data to Complete Appendix C'!$C$8:$Q$313,11,FALSE)</f>
        <v>0.56699999999999995</v>
      </c>
      <c r="P63" s="115">
        <f>VLOOKUP($D63,'2022Data to Complete Appendix C'!$C$8:$Q$313,12,FALSE)</f>
        <v>0.772675</v>
      </c>
      <c r="Q63" s="115">
        <f>VLOOKUP($D63,'2022Data to Complete Appendix C'!$C$8:$Q$313,13,FALSE)</f>
        <v>0.66900000000000004</v>
      </c>
      <c r="R63" s="114">
        <f>VLOOKUP($D63,'2022Data to Complete Appendix C'!$C$8:$Q$313,14,FALSE)</f>
        <v>2.2999999999999998</v>
      </c>
      <c r="S63" s="115">
        <f>VLOOKUP($D63,'2022Data to Complete Appendix C'!$C$8:$Q$313,15,FALSE)</f>
        <v>-0.33400800000000003</v>
      </c>
      <c r="T63" s="12">
        <f>IFERROR(VLOOKUP($D63,'2022LodgingbyWUP'!$A$1:$D$98,4,FALSE),0)</f>
        <v>0</v>
      </c>
      <c r="U63" s="12">
        <f t="shared" ref="U63:U125" si="1">IF(T63&gt;0,T63*Q63*R63,0)</f>
        <v>0</v>
      </c>
      <c r="V63" s="12">
        <f>IFERROR(VLOOKUP($D63,Total_DU!$B$5:$Z$174,22,0),0)</f>
        <v>400</v>
      </c>
      <c r="W63" s="12">
        <f>IFERROR(VLOOKUP($D63,Total_DU!$B$5:$Z$174,23,0),0)</f>
        <v>411</v>
      </c>
      <c r="X63" s="12">
        <f>IFERROR(VLOOKUP($D63,Total_DU!$B$5:$Z$174,24,0),0)</f>
        <v>419</v>
      </c>
      <c r="Y63" s="12">
        <f>IFERROR(VLOOKUP($D63,Total_DU!$B$5:$Z$174,25,0),0)</f>
        <v>431</v>
      </c>
      <c r="Z63" s="12">
        <f>IFERROR(VLOOKUP($D63,Population!$B$5:$Y$174,21,FALSE),0)</f>
        <v>1218.754489163</v>
      </c>
      <c r="AA63" s="12">
        <f>IFERROR(VLOOKUP($D63,Population!$B$5:$Y$174,22,FALSE),0)</f>
        <v>1252.2702626241537</v>
      </c>
      <c r="AB63" s="12">
        <f>IFERROR(VLOOKUP($D63,Population!$B$5:$Y$174,23,FALSE),0)</f>
        <v>1276.6453474085686</v>
      </c>
      <c r="AC63" s="12">
        <f>IFERROR(VLOOKUP($D63,Population!$B$5:$Y$174,24,FALSE),0)</f>
        <v>1313</v>
      </c>
    </row>
    <row r="64" spans="1:29" ht="15" x14ac:dyDescent="0.25">
      <c r="A64" s="11" t="s">
        <v>38</v>
      </c>
      <c r="B64" s="11" t="s">
        <v>545</v>
      </c>
      <c r="C64" s="11" t="s">
        <v>482</v>
      </c>
      <c r="D64" s="11">
        <v>2707</v>
      </c>
      <c r="E64" s="11">
        <v>2022</v>
      </c>
      <c r="F64" s="12">
        <f>VLOOKUP($D64,'2022Data to Complete Appendix C'!$C$8:$Q$313,2,FALSE)</f>
        <v>2613</v>
      </c>
      <c r="G64" s="12">
        <f>VLOOKUP($D64,'2022Data to Complete Appendix C'!$C$8:$Q$313,3,FALSE)</f>
        <v>942</v>
      </c>
      <c r="H64" s="12">
        <f>VLOOKUP($D64,'2022Data to Complete Appendix C'!$C$8:$Q$313,4,FALSE)</f>
        <v>13</v>
      </c>
      <c r="I64" s="12">
        <f>VLOOKUP($D64,'2022Data to Complete Appendix C'!$C$8:$Q$313,5,FALSE)</f>
        <v>1047</v>
      </c>
      <c r="J64" s="114">
        <f>VLOOKUP($D64,'2022Data to Complete Appendix C'!$C$8:$Q$313,6,FALSE)</f>
        <v>2.7738900000000002</v>
      </c>
      <c r="K64" s="114">
        <f>VLOOKUP($D64,'2022Data to Complete Appendix C'!$C$8:$Q$313,7,FALSE)</f>
        <v>1.95</v>
      </c>
      <c r="L64" s="114">
        <f>VLOOKUP($D64,'2022Data to Complete Appendix C'!$C$8:$Q$313,8,FALSE)</f>
        <v>1.01139</v>
      </c>
      <c r="M64" s="12">
        <f>VLOOKUP($D64,'2022Data to Complete Appendix C'!$C$8:$Q$313,9,FALSE)</f>
        <v>15.2613</v>
      </c>
      <c r="N64" s="114">
        <f>VLOOKUP($D64,'2022Data to Complete Appendix C'!$C$8:$Q$313,10,FALSE)</f>
        <v>1.5942600000000001E-2</v>
      </c>
      <c r="O64" s="115">
        <f>VLOOKUP($D64,'2022Data to Complete Appendix C'!$C$8:$Q$313,11,FALSE)</f>
        <v>0.56699999999999995</v>
      </c>
      <c r="P64" s="115">
        <f>VLOOKUP($D64,'2022Data to Complete Appendix C'!$C$8:$Q$313,12,FALSE)</f>
        <v>0.772675</v>
      </c>
      <c r="Q64" s="115">
        <f>VLOOKUP($D64,'2022Data to Complete Appendix C'!$C$8:$Q$313,13,FALSE)</f>
        <v>0.66900000000000004</v>
      </c>
      <c r="R64" s="114">
        <f>VLOOKUP($D64,'2022Data to Complete Appendix C'!$C$8:$Q$313,14,FALSE)</f>
        <v>2.2999999999999998</v>
      </c>
      <c r="S64" s="115">
        <f>VLOOKUP($D64,'2022Data to Complete Appendix C'!$C$8:$Q$313,15,FALSE)</f>
        <v>5.2785900000000003</v>
      </c>
      <c r="T64" s="12">
        <f>IFERROR(VLOOKUP($D64,'2022LodgingbyWUP'!$A$1:$D$98,4,FALSE),0)</f>
        <v>4</v>
      </c>
      <c r="U64" s="12">
        <f t="shared" si="1"/>
        <v>6.1547999999999998</v>
      </c>
      <c r="V64" s="12" t="str">
        <f>IFERROR(VLOOKUP($D64,Total_DU!$B$5:$Z$174,22,0),0)</f>
        <v>NA</v>
      </c>
      <c r="W64" s="12" t="str">
        <f>IFERROR(VLOOKUP($D64,Total_DU!$B$5:$Z$174,23,0),0)</f>
        <v>NA</v>
      </c>
      <c r="X64" s="12" t="str">
        <f>IFERROR(VLOOKUP($D64,Total_DU!$B$5:$Z$174,24,0),0)</f>
        <v>NA</v>
      </c>
      <c r="Y64" s="12" t="str">
        <f>IFERROR(VLOOKUP($D64,Total_DU!$B$5:$Z$174,25,0),0)</f>
        <v>NA</v>
      </c>
      <c r="Z64" s="12" t="str">
        <f>IFERROR(VLOOKUP($D64,Population!$B$5:$Y$174,21,FALSE),0)</f>
        <v>NA</v>
      </c>
      <c r="AA64" s="12" t="str">
        <f>IFERROR(VLOOKUP($D64,Population!$B$5:$Y$174,22,FALSE),0)</f>
        <v>NA</v>
      </c>
      <c r="AB64" s="12" t="str">
        <f>IFERROR(VLOOKUP($D64,Population!$B$5:$Y$174,23,FALSE),0)</f>
        <v>NA</v>
      </c>
      <c r="AC64" s="12" t="str">
        <f>IFERROR(VLOOKUP($D64,Population!$B$5:$Y$174,24,FALSE),0)</f>
        <v>NA</v>
      </c>
    </row>
    <row r="65" spans="1:29" ht="15" x14ac:dyDescent="0.25">
      <c r="A65" s="2" t="s">
        <v>38</v>
      </c>
      <c r="B65" s="2" t="s">
        <v>546</v>
      </c>
      <c r="C65" s="2" t="s">
        <v>124</v>
      </c>
      <c r="D65" s="2">
        <v>2888</v>
      </c>
      <c r="E65" s="11">
        <v>2022</v>
      </c>
      <c r="F65" s="12">
        <f>VLOOKUP($D65,'2022Data to Complete Appendix C'!$C$8:$Q$313,2,FALSE)</f>
        <v>216</v>
      </c>
      <c r="G65" s="12">
        <f>VLOOKUP($D65,'2022Data to Complete Appendix C'!$C$8:$Q$313,3,FALSE)</f>
        <v>123</v>
      </c>
      <c r="H65" s="12">
        <f>VLOOKUP($D65,'2022Data to Complete Appendix C'!$C$8:$Q$313,4,FALSE)</f>
        <v>0</v>
      </c>
      <c r="I65" s="12">
        <f>VLOOKUP($D65,'2022Data to Complete Appendix C'!$C$8:$Q$313,5,FALSE)</f>
        <v>187</v>
      </c>
      <c r="J65" s="114">
        <f>VLOOKUP($D65,'2022Data to Complete Appendix C'!$C$8:$Q$313,6,FALSE)</f>
        <v>1.7561</v>
      </c>
      <c r="K65" s="114">
        <f>VLOOKUP($D65,'2022Data to Complete Appendix C'!$C$8:$Q$313,7,FALSE)</f>
        <v>1.95</v>
      </c>
      <c r="L65" s="114">
        <f>VLOOKUP($D65,'2022Data to Complete Appendix C'!$C$8:$Q$313,8,FALSE)</f>
        <v>1.11957</v>
      </c>
      <c r="M65" s="12">
        <f>VLOOKUP($D65,'2022Data to Complete Appendix C'!$C$8:$Q$313,9,FALSE)</f>
        <v>13.244999999999999</v>
      </c>
      <c r="N65" s="114">
        <f>VLOOKUP($D65,'2022Data to Complete Appendix C'!$C$8:$Q$313,10,FALSE)</f>
        <v>9.7214599999999998E-2</v>
      </c>
      <c r="O65" s="115">
        <f>VLOOKUP($D65,'2022Data to Complete Appendix C'!$C$8:$Q$313,11,FALSE)</f>
        <v>0.56699999999999995</v>
      </c>
      <c r="P65" s="115">
        <f>VLOOKUP($D65,'2022Data to Complete Appendix C'!$C$8:$Q$313,12,FALSE)</f>
        <v>0.772675</v>
      </c>
      <c r="Q65" s="115">
        <f>VLOOKUP($D65,'2022Data to Complete Appendix C'!$C$8:$Q$313,13,FALSE)</f>
        <v>0.66900000000000004</v>
      </c>
      <c r="R65" s="114">
        <f>VLOOKUP($D65,'2022Data to Complete Appendix C'!$C$8:$Q$313,14,FALSE)</f>
        <v>2.2999999999999998</v>
      </c>
      <c r="S65" s="115">
        <f>VLOOKUP($D65,'2022Data to Complete Appendix C'!$C$8:$Q$313,15,FALSE)</f>
        <v>1.9339599999999999</v>
      </c>
      <c r="T65" s="12">
        <f>IFERROR(VLOOKUP($D65,'2022LodgingbyWUP'!$A$1:$D$98,4,FALSE),0)</f>
        <v>0</v>
      </c>
      <c r="U65" s="12">
        <f t="shared" si="1"/>
        <v>0</v>
      </c>
      <c r="V65" s="12">
        <f>IFERROR(VLOOKUP($D65,Total_DU!$B$5:$Z$174,22,0),0)</f>
        <v>0</v>
      </c>
      <c r="W65" s="12">
        <f>IFERROR(VLOOKUP($D65,Total_DU!$B$5:$Z$174,23,0),0)</f>
        <v>0</v>
      </c>
      <c r="X65" s="12">
        <f>IFERROR(VLOOKUP($D65,Total_DU!$B$5:$Z$174,24,0),0)</f>
        <v>0</v>
      </c>
      <c r="Y65" s="12">
        <f>IFERROR(VLOOKUP($D65,Total_DU!$B$5:$Z$174,25,0),0)</f>
        <v>0</v>
      </c>
      <c r="Z65" s="12">
        <f>IFERROR(VLOOKUP($D65,Population!$B$5:$Y$174,21,FALSE),0)</f>
        <v>0</v>
      </c>
      <c r="AA65" s="12">
        <f>IFERROR(VLOOKUP($D65,Population!$B$5:$Y$174,22,FALSE),0)</f>
        <v>0</v>
      </c>
      <c r="AB65" s="12">
        <f>IFERROR(VLOOKUP($D65,Population!$B$5:$Y$174,23,FALSE),0)</f>
        <v>0</v>
      </c>
      <c r="AC65" s="12">
        <f>IFERROR(VLOOKUP($D65,Population!$B$5:$Y$174,24,FALSE),0)</f>
        <v>0</v>
      </c>
    </row>
    <row r="66" spans="1:29" ht="15" x14ac:dyDescent="0.25">
      <c r="A66" s="11" t="s">
        <v>38</v>
      </c>
      <c r="B66" s="11" t="s">
        <v>547</v>
      </c>
      <c r="C66" s="11" t="s">
        <v>176</v>
      </c>
      <c r="D66" s="11">
        <v>4757</v>
      </c>
      <c r="E66" s="11">
        <v>2022</v>
      </c>
      <c r="F66" s="12">
        <f>VLOOKUP($D66,'2022Data to Complete Appendix C'!$C$8:$Q$313,2,FALSE)</f>
        <v>50</v>
      </c>
      <c r="G66" s="12">
        <f>VLOOKUP($D66,'2022Data to Complete Appendix C'!$C$8:$Q$313,3,FALSE)</f>
        <v>33</v>
      </c>
      <c r="H66" s="12">
        <f>VLOOKUP($D66,'2022Data to Complete Appendix C'!$C$8:$Q$313,4,FALSE)</f>
        <v>0</v>
      </c>
      <c r="I66" s="12">
        <f>VLOOKUP($D66,'2022Data to Complete Appendix C'!$C$8:$Q$313,5,FALSE)</f>
        <v>39</v>
      </c>
      <c r="J66" s="114">
        <f>VLOOKUP($D66,'2022Data to Complete Appendix C'!$C$8:$Q$313,6,FALSE)</f>
        <v>1.51515</v>
      </c>
      <c r="K66" s="114">
        <f>VLOOKUP($D66,'2022Data to Complete Appendix C'!$C$8:$Q$313,7,FALSE)</f>
        <v>1.95</v>
      </c>
      <c r="L66" s="114">
        <f>VLOOKUP($D66,'2022Data to Complete Appendix C'!$C$8:$Q$313,8,FALSE)</f>
        <v>1.11957</v>
      </c>
      <c r="M66" s="12">
        <f>VLOOKUP($D66,'2022Data to Complete Appendix C'!$C$8:$Q$313,9,FALSE)</f>
        <v>3.0659700000000001</v>
      </c>
      <c r="N66" s="114">
        <f>VLOOKUP($D66,'2022Data to Complete Appendix C'!$C$8:$Q$313,10,FALSE)</f>
        <v>8.5010199999999994E-2</v>
      </c>
      <c r="O66" s="115">
        <f>VLOOKUP($D66,'2022Data to Complete Appendix C'!$C$8:$Q$313,11,FALSE)</f>
        <v>0.56699999999999995</v>
      </c>
      <c r="P66" s="115">
        <f>VLOOKUP($D66,'2022Data to Complete Appendix C'!$C$8:$Q$313,12,FALSE)</f>
        <v>0.772675</v>
      </c>
      <c r="Q66" s="115">
        <f>VLOOKUP($D66,'2022Data to Complete Appendix C'!$C$8:$Q$313,13,FALSE)</f>
        <v>0.66900000000000004</v>
      </c>
      <c r="R66" s="114">
        <f>VLOOKUP($D66,'2022Data to Complete Appendix C'!$C$8:$Q$313,14,FALSE)</f>
        <v>2.2999999999999998</v>
      </c>
      <c r="S66" s="115">
        <f>VLOOKUP($D66,'2022Data to Complete Appendix C'!$C$8:$Q$313,15,FALSE)</f>
        <v>1.9339599999999999</v>
      </c>
      <c r="T66" s="12">
        <f>IFERROR(VLOOKUP($D66,'2022LodgingbyWUP'!$A$1:$D$98,4,FALSE),0)</f>
        <v>0</v>
      </c>
      <c r="U66" s="12">
        <f t="shared" si="1"/>
        <v>0</v>
      </c>
      <c r="V66" s="12" t="str">
        <f>IFERROR(VLOOKUP($D66,Total_DU!$B$5:$Z$174,22,0),0)</f>
        <v>NA</v>
      </c>
      <c r="W66" s="12" t="str">
        <f>IFERROR(VLOOKUP($D66,Total_DU!$B$5:$Z$174,23,0),0)</f>
        <v>NA</v>
      </c>
      <c r="X66" s="12" t="str">
        <f>IFERROR(VLOOKUP($D66,Total_DU!$B$5:$Z$174,24,0),0)</f>
        <v>NA</v>
      </c>
      <c r="Y66" s="12" t="str">
        <f>IFERROR(VLOOKUP($D66,Total_DU!$B$5:$Z$174,25,0),0)</f>
        <v>NA</v>
      </c>
      <c r="Z66" s="12" t="str">
        <f>IFERROR(VLOOKUP($D66,Population!$B$5:$Y$174,21,FALSE),0)</f>
        <v>NA</v>
      </c>
      <c r="AA66" s="12" t="str">
        <f>IFERROR(VLOOKUP($D66,Population!$B$5:$Y$174,22,FALSE),0)</f>
        <v>NA</v>
      </c>
      <c r="AB66" s="12" t="str">
        <f>IFERROR(VLOOKUP($D66,Population!$B$5:$Y$174,23,FALSE),0)</f>
        <v>NA</v>
      </c>
      <c r="AC66" s="12" t="str">
        <f>IFERROR(VLOOKUP($D66,Population!$B$5:$Y$174,24,FALSE),0)</f>
        <v>NA</v>
      </c>
    </row>
    <row r="67" spans="1:29" ht="15" x14ac:dyDescent="0.25">
      <c r="A67" s="2" t="s">
        <v>38</v>
      </c>
      <c r="B67" s="2" t="s">
        <v>548</v>
      </c>
      <c r="C67" s="2" t="s">
        <v>18</v>
      </c>
      <c r="D67" s="2">
        <v>6879</v>
      </c>
      <c r="E67" s="11">
        <v>2022</v>
      </c>
      <c r="F67" s="12">
        <f>VLOOKUP($D67,'2022Data to Complete Appendix C'!$C$8:$Q$313,2,FALSE)</f>
        <v>1679</v>
      </c>
      <c r="G67" s="12">
        <f>VLOOKUP($D67,'2022Data to Complete Appendix C'!$C$8:$Q$313,3,FALSE)</f>
        <v>986</v>
      </c>
      <c r="H67" s="12">
        <f>VLOOKUP($D67,'2022Data to Complete Appendix C'!$C$8:$Q$313,4,FALSE)</f>
        <v>50</v>
      </c>
      <c r="I67" s="12">
        <f>VLOOKUP($D67,'2022Data to Complete Appendix C'!$C$8:$Q$313,5,FALSE)</f>
        <v>1228</v>
      </c>
      <c r="J67" s="114">
        <f>VLOOKUP($D67,'2022Data to Complete Appendix C'!$C$8:$Q$313,6,FALSE)</f>
        <v>1.7028399999999999</v>
      </c>
      <c r="K67" s="114">
        <f>VLOOKUP($D67,'2022Data to Complete Appendix C'!$C$8:$Q$313,7,FALSE)</f>
        <v>1.95</v>
      </c>
      <c r="L67" s="114">
        <f>VLOOKUP($D67,'2022Data to Complete Appendix C'!$C$8:$Q$313,8,FALSE)</f>
        <v>1.0407599999999999</v>
      </c>
      <c r="M67" s="12">
        <f>VLOOKUP($D67,'2022Data to Complete Appendix C'!$C$8:$Q$313,9,FALSE)</f>
        <v>35.095399999999998</v>
      </c>
      <c r="N67" s="114">
        <f>VLOOKUP($D67,'2022Data to Complete Appendix C'!$C$8:$Q$313,10,FALSE)</f>
        <v>3.4370400000000002E-2</v>
      </c>
      <c r="O67" s="115">
        <f>VLOOKUP($D67,'2022Data to Complete Appendix C'!$C$8:$Q$313,11,FALSE)</f>
        <v>0.56699999999999995</v>
      </c>
      <c r="P67" s="115">
        <f>VLOOKUP($D67,'2022Data to Complete Appendix C'!$C$8:$Q$313,12,FALSE)</f>
        <v>0.772675</v>
      </c>
      <c r="Q67" s="115">
        <f>VLOOKUP($D67,'2022Data to Complete Appendix C'!$C$8:$Q$313,13,FALSE)</f>
        <v>0.66900000000000004</v>
      </c>
      <c r="R67" s="114">
        <f>VLOOKUP($D67,'2022Data to Complete Appendix C'!$C$8:$Q$313,14,FALSE)</f>
        <v>2.2999999999999998</v>
      </c>
      <c r="S67" s="115">
        <f>VLOOKUP($D67,'2022Data to Complete Appendix C'!$C$8:$Q$313,15,FALSE)</f>
        <v>-0.30697400000000002</v>
      </c>
      <c r="T67" s="12">
        <f>IFERROR(VLOOKUP($D67,'2022LodgingbyWUP'!$A$1:$D$98,4,FALSE),0)</f>
        <v>0</v>
      </c>
      <c r="U67" s="12">
        <f t="shared" si="1"/>
        <v>0</v>
      </c>
      <c r="V67" s="12">
        <f>IFERROR(VLOOKUP($D67,Total_DU!$B$5:$Z$174,22,0),0)</f>
        <v>1333</v>
      </c>
      <c r="W67" s="12">
        <f>IFERROR(VLOOKUP($D67,Total_DU!$B$5:$Z$174,23,0),0)</f>
        <v>1391</v>
      </c>
      <c r="X67" s="12">
        <f>IFERROR(VLOOKUP($D67,Total_DU!$B$5:$Z$174,24,0),0)</f>
        <v>1391</v>
      </c>
      <c r="Y67" s="12">
        <f>IFERROR(VLOOKUP($D67,Total_DU!$B$5:$Z$174,25,0),0)</f>
        <v>1223</v>
      </c>
      <c r="Z67" s="12">
        <f>IFERROR(VLOOKUP($D67,Population!$B$5:$Y$174,21,FALSE),0)</f>
        <v>2315.1755135074363</v>
      </c>
      <c r="AA67" s="12">
        <f>IFERROR(VLOOKUP($D67,Population!$B$5:$Y$174,22,FALSE),0)</f>
        <v>2415.9107503322361</v>
      </c>
      <c r="AB67" s="12">
        <f>IFERROR(VLOOKUP($D67,Population!$B$5:$Y$174,23,FALSE),0)</f>
        <v>2415.9107106729807</v>
      </c>
      <c r="AC67" s="12">
        <f>IFERROR(VLOOKUP($D67,Population!$B$5:$Y$174,24,FALSE),0)</f>
        <v>2124</v>
      </c>
    </row>
    <row r="68" spans="1:29" ht="15" x14ac:dyDescent="0.25">
      <c r="A68" s="11" t="s">
        <v>38</v>
      </c>
      <c r="B68" s="11" t="s">
        <v>549</v>
      </c>
      <c r="C68" s="11" t="s">
        <v>125</v>
      </c>
      <c r="D68" s="11">
        <v>7002</v>
      </c>
      <c r="E68" s="11">
        <v>2022</v>
      </c>
      <c r="F68" s="12">
        <f>VLOOKUP($D68,'2022Data to Complete Appendix C'!$C$8:$Q$313,2,FALSE)</f>
        <v>954</v>
      </c>
      <c r="G68" s="12">
        <f>VLOOKUP($D68,'2022Data to Complete Appendix C'!$C$8:$Q$313,3,FALSE)</f>
        <v>532</v>
      </c>
      <c r="H68" s="12">
        <f>VLOOKUP($D68,'2022Data to Complete Appendix C'!$C$8:$Q$313,4,FALSE)</f>
        <v>0</v>
      </c>
      <c r="I68" s="12">
        <f>VLOOKUP($D68,'2022Data to Complete Appendix C'!$C$8:$Q$313,5,FALSE)</f>
        <v>612</v>
      </c>
      <c r="J68" s="114">
        <f>VLOOKUP($D68,'2022Data to Complete Appendix C'!$C$8:$Q$313,6,FALSE)</f>
        <v>1.7932300000000001</v>
      </c>
      <c r="K68" s="114">
        <f>VLOOKUP($D68,'2022Data to Complete Appendix C'!$C$8:$Q$313,7,FALSE)</f>
        <v>1.95</v>
      </c>
      <c r="L68" s="114">
        <f>VLOOKUP($D68,'2022Data to Complete Appendix C'!$C$8:$Q$313,8,FALSE)</f>
        <v>1.0343199999999999</v>
      </c>
      <c r="M68" s="12">
        <f>VLOOKUP($D68,'2022Data to Complete Appendix C'!$C$8:$Q$313,9,FALSE)</f>
        <v>16.789899999999999</v>
      </c>
      <c r="N68" s="114">
        <f>VLOOKUP($D68,'2022Data to Complete Appendix C'!$C$8:$Q$313,10,FALSE)</f>
        <v>3.0594400000000001E-2</v>
      </c>
      <c r="O68" s="115">
        <f>VLOOKUP($D68,'2022Data to Complete Appendix C'!$C$8:$Q$313,11,FALSE)</f>
        <v>0.56699999999999995</v>
      </c>
      <c r="P68" s="115">
        <f>VLOOKUP($D68,'2022Data to Complete Appendix C'!$C$8:$Q$313,12,FALSE)</f>
        <v>0.772675</v>
      </c>
      <c r="Q68" s="115">
        <f>VLOOKUP($D68,'2022Data to Complete Appendix C'!$C$8:$Q$313,13,FALSE)</f>
        <v>0.66900000000000004</v>
      </c>
      <c r="R68" s="114">
        <f>VLOOKUP($D68,'2022Data to Complete Appendix C'!$C$8:$Q$313,14,FALSE)</f>
        <v>2.2999999999999998</v>
      </c>
      <c r="S68" s="115">
        <f>VLOOKUP($D68,'2022Data to Complete Appendix C'!$C$8:$Q$313,15,FALSE)</f>
        <v>-0.485595</v>
      </c>
      <c r="T68" s="12">
        <f>IFERROR(VLOOKUP($D68,'2022LodgingbyWUP'!$A$1:$D$98,4,FALSE),0)</f>
        <v>0</v>
      </c>
      <c r="U68" s="12">
        <f t="shared" si="1"/>
        <v>0</v>
      </c>
      <c r="V68" s="12" t="str">
        <f>IFERROR(VLOOKUP($D68,Total_DU!$B$5:$Z$174,22,0),0)</f>
        <v>NA</v>
      </c>
      <c r="W68" s="12" t="str">
        <f>IFERROR(VLOOKUP($D68,Total_DU!$B$5:$Z$174,23,0),0)</f>
        <v>NA</v>
      </c>
      <c r="X68" s="12" t="str">
        <f>IFERROR(VLOOKUP($D68,Total_DU!$B$5:$Z$174,24,0),0)</f>
        <v>NA</v>
      </c>
      <c r="Y68" s="12" t="str">
        <f>IFERROR(VLOOKUP($D68,Total_DU!$B$5:$Z$174,25,0),0)</f>
        <v>NA</v>
      </c>
      <c r="Z68" s="12" t="str">
        <f>IFERROR(VLOOKUP($D68,Population!$B$5:$Y$174,21,FALSE),0)</f>
        <v>NA</v>
      </c>
      <c r="AA68" s="12" t="str">
        <f>IFERROR(VLOOKUP($D68,Population!$B$5:$Y$174,22,FALSE),0)</f>
        <v>NA</v>
      </c>
      <c r="AB68" s="12" t="str">
        <f>IFERROR(VLOOKUP($D68,Population!$B$5:$Y$174,23,FALSE),0)</f>
        <v>NA</v>
      </c>
      <c r="AC68" s="12" t="str">
        <f>IFERROR(VLOOKUP($D68,Population!$B$5:$Y$174,24,FALSE),0)</f>
        <v>NA</v>
      </c>
    </row>
    <row r="69" spans="1:29" ht="15" x14ac:dyDescent="0.25">
      <c r="A69" s="2" t="s">
        <v>38</v>
      </c>
      <c r="B69" s="2" t="s">
        <v>550</v>
      </c>
      <c r="C69" s="2" t="s">
        <v>143</v>
      </c>
      <c r="D69" s="2">
        <v>7637</v>
      </c>
      <c r="E69" s="11">
        <v>2022</v>
      </c>
      <c r="F69" s="12">
        <f>VLOOKUP($D69,'2022Data to Complete Appendix C'!$C$8:$Q$313,2,FALSE)</f>
        <v>1118</v>
      </c>
      <c r="G69" s="12">
        <f>VLOOKUP($D69,'2022Data to Complete Appendix C'!$C$8:$Q$313,3,FALSE)</f>
        <v>539</v>
      </c>
      <c r="H69" s="12">
        <f>VLOOKUP($D69,'2022Data to Complete Appendix C'!$C$8:$Q$313,4,FALSE)</f>
        <v>0</v>
      </c>
      <c r="I69" s="12">
        <f>VLOOKUP($D69,'2022Data to Complete Appendix C'!$C$8:$Q$313,5,FALSE)</f>
        <v>694</v>
      </c>
      <c r="J69" s="114">
        <f>VLOOKUP($D69,'2022Data to Complete Appendix C'!$C$8:$Q$313,6,FALSE)</f>
        <v>2.0742099999999999</v>
      </c>
      <c r="K69" s="114">
        <f>VLOOKUP($D69,'2022Data to Complete Appendix C'!$C$8:$Q$313,7,FALSE)</f>
        <v>1.95</v>
      </c>
      <c r="L69" s="114">
        <f>VLOOKUP($D69,'2022Data to Complete Appendix C'!$C$8:$Q$313,8,FALSE)</f>
        <v>1.11957</v>
      </c>
      <c r="M69" s="12">
        <f>VLOOKUP($D69,'2022Data to Complete Appendix C'!$C$8:$Q$313,9,FALSE)</f>
        <v>68.555199999999999</v>
      </c>
      <c r="N69" s="114">
        <f>VLOOKUP($D69,'2022Data to Complete Appendix C'!$C$8:$Q$313,10,FALSE)</f>
        <v>0.11283799999999999</v>
      </c>
      <c r="O69" s="115">
        <f>VLOOKUP($D69,'2022Data to Complete Appendix C'!$C$8:$Q$313,11,FALSE)</f>
        <v>0.56699999999999995</v>
      </c>
      <c r="P69" s="115">
        <f>VLOOKUP($D69,'2022Data to Complete Appendix C'!$C$8:$Q$313,12,FALSE)</f>
        <v>0.772675</v>
      </c>
      <c r="Q69" s="115">
        <f>VLOOKUP($D69,'2022Data to Complete Appendix C'!$C$8:$Q$313,13,FALSE)</f>
        <v>0.66900000000000004</v>
      </c>
      <c r="R69" s="114">
        <f>VLOOKUP($D69,'2022Data to Complete Appendix C'!$C$8:$Q$313,14,FALSE)</f>
        <v>2.2999999999999998</v>
      </c>
      <c r="S69" s="115">
        <f>VLOOKUP($D69,'2022Data to Complete Appendix C'!$C$8:$Q$313,15,FALSE)</f>
        <v>-0.36208000000000001</v>
      </c>
      <c r="T69" s="12">
        <f>IFERROR(VLOOKUP($D69,'2022LodgingbyWUP'!$A$1:$D$98,4,FALSE),0)</f>
        <v>0</v>
      </c>
      <c r="U69" s="12">
        <f t="shared" si="1"/>
        <v>0</v>
      </c>
      <c r="V69" s="12">
        <f>IFERROR(VLOOKUP($D69,Total_DU!$B$5:$Z$174,22,0),0)</f>
        <v>629</v>
      </c>
      <c r="W69" s="12">
        <f>IFERROR(VLOOKUP($D69,Total_DU!$B$5:$Z$174,23,0),0)</f>
        <v>629</v>
      </c>
      <c r="X69" s="12">
        <f>IFERROR(VLOOKUP($D69,Total_DU!$B$5:$Z$174,24,0),0)</f>
        <v>626</v>
      </c>
      <c r="Y69" s="12">
        <f>IFERROR(VLOOKUP($D69,Total_DU!$B$5:$Z$174,25,0),0)</f>
        <v>654</v>
      </c>
      <c r="Z69" s="12">
        <f>IFERROR(VLOOKUP($D69,Population!$B$5:$Y$174,21,FALSE),0)</f>
        <v>1264.4012340700936</v>
      </c>
      <c r="AA69" s="12">
        <f>IFERROR(VLOOKUP($D69,Population!$B$5:$Y$174,22,FALSE),0)</f>
        <v>1264.4011782674152</v>
      </c>
      <c r="AB69" s="12">
        <f>IFERROR(VLOOKUP($D69,Population!$B$5:$Y$174,23,FALSE),0)</f>
        <v>1258.3706642791094</v>
      </c>
      <c r="AC69" s="12">
        <f>IFERROR(VLOOKUP($D69,Population!$B$5:$Y$174,24,FALSE),0)</f>
        <v>1315</v>
      </c>
    </row>
    <row r="70" spans="1:29" ht="15" x14ac:dyDescent="0.25">
      <c r="A70" s="11" t="s">
        <v>38</v>
      </c>
      <c r="B70" s="11" t="s">
        <v>551</v>
      </c>
      <c r="C70" s="11" t="s">
        <v>172</v>
      </c>
      <c r="D70" s="11">
        <v>7790</v>
      </c>
      <c r="E70" s="11">
        <v>2022</v>
      </c>
      <c r="F70" s="12">
        <f>VLOOKUP($D70,'2022Data to Complete Appendix C'!$C$8:$Q$313,2,FALSE)</f>
        <v>1642</v>
      </c>
      <c r="G70" s="12">
        <f>VLOOKUP($D70,'2022Data to Complete Appendix C'!$C$8:$Q$313,3,FALSE)</f>
        <v>605</v>
      </c>
      <c r="H70" s="12">
        <f>VLOOKUP($D70,'2022Data to Complete Appendix C'!$C$8:$Q$313,4,FALSE)</f>
        <v>6</v>
      </c>
      <c r="I70" s="12">
        <f>VLOOKUP($D70,'2022Data to Complete Appendix C'!$C$8:$Q$313,5,FALSE)</f>
        <v>686</v>
      </c>
      <c r="J70" s="114">
        <f>VLOOKUP($D70,'2022Data to Complete Appendix C'!$C$8:$Q$313,6,FALSE)</f>
        <v>2.7140499999999999</v>
      </c>
      <c r="K70" s="114">
        <f>VLOOKUP($D70,'2022Data to Complete Appendix C'!$C$8:$Q$313,7,FALSE)</f>
        <v>1.95</v>
      </c>
      <c r="L70" s="114">
        <f>VLOOKUP($D70,'2022Data to Complete Appendix C'!$C$8:$Q$313,8,FALSE)</f>
        <v>1.0171600000000001</v>
      </c>
      <c r="M70" s="12">
        <f>VLOOKUP($D70,'2022Data to Complete Appendix C'!$C$8:$Q$313,9,FALSE)</f>
        <v>14.445399999999999</v>
      </c>
      <c r="N70" s="114">
        <f>VLOOKUP($D70,'2022Data to Complete Appendix C'!$C$8:$Q$313,10,FALSE)</f>
        <v>2.3319900000000001E-2</v>
      </c>
      <c r="O70" s="115">
        <f>VLOOKUP($D70,'2022Data to Complete Appendix C'!$C$8:$Q$313,11,FALSE)</f>
        <v>0.56699999999999995</v>
      </c>
      <c r="P70" s="115">
        <f>VLOOKUP($D70,'2022Data to Complete Appendix C'!$C$8:$Q$313,12,FALSE)</f>
        <v>0.772675</v>
      </c>
      <c r="Q70" s="115">
        <f>VLOOKUP($D70,'2022Data to Complete Appendix C'!$C$8:$Q$313,13,FALSE)</f>
        <v>0.66900000000000004</v>
      </c>
      <c r="R70" s="114">
        <f>VLOOKUP($D70,'2022Data to Complete Appendix C'!$C$8:$Q$313,14,FALSE)</f>
        <v>2.2999999999999998</v>
      </c>
      <c r="S70" s="115">
        <f>VLOOKUP($D70,'2022Data to Complete Appendix C'!$C$8:$Q$313,15,FALSE)</f>
        <v>4.7104200000000001</v>
      </c>
      <c r="T70" s="12">
        <f>IFERROR(VLOOKUP($D70,'2022LodgingbyWUP'!$A$1:$D$98,4,FALSE),0)</f>
        <v>0</v>
      </c>
      <c r="U70" s="12">
        <f t="shared" si="1"/>
        <v>0</v>
      </c>
      <c r="V70" s="12">
        <f>IFERROR(VLOOKUP($D70,Total_DU!$B$5:$Z$174,22,0),0)</f>
        <v>377</v>
      </c>
      <c r="W70" s="12">
        <f>IFERROR(VLOOKUP($D70,Total_DU!$B$5:$Z$174,23,0),0)</f>
        <v>388</v>
      </c>
      <c r="X70" s="12">
        <f>IFERROR(VLOOKUP($D70,Total_DU!$B$5:$Z$174,24,0),0)</f>
        <v>573</v>
      </c>
      <c r="Y70" s="12">
        <f>IFERROR(VLOOKUP($D70,Total_DU!$B$5:$Z$174,25,0),0)</f>
        <v>583</v>
      </c>
      <c r="Z70" s="12">
        <f>IFERROR(VLOOKUP($D70,Population!$B$5:$Y$174,21,FALSE),0)</f>
        <v>1438.6928676782495</v>
      </c>
      <c r="AA70" s="12">
        <f>IFERROR(VLOOKUP($D70,Population!$B$5:$Y$174,22,FALSE),0)</f>
        <v>1480.6709250140264</v>
      </c>
      <c r="AB70" s="12">
        <f>IFERROR(VLOOKUP($D70,Population!$B$5:$Y$174,23,FALSE),0)</f>
        <v>2186.6609071443963</v>
      </c>
      <c r="AC70" s="12">
        <f>IFERROR(VLOOKUP($D70,Population!$B$5:$Y$174,24,FALSE),0)</f>
        <v>2225</v>
      </c>
    </row>
    <row r="71" spans="1:29" ht="15" x14ac:dyDescent="0.25">
      <c r="A71" s="2" t="s">
        <v>38</v>
      </c>
      <c r="B71" s="2" t="s">
        <v>552</v>
      </c>
      <c r="C71" s="2" t="s">
        <v>37</v>
      </c>
      <c r="D71" s="2">
        <v>8986</v>
      </c>
      <c r="E71" s="11">
        <v>2022</v>
      </c>
      <c r="F71" s="12">
        <f>VLOOKUP($D71,'2022Data to Complete Appendix C'!$C$8:$Q$313,2,FALSE)</f>
        <v>123</v>
      </c>
      <c r="G71" s="12">
        <f>VLOOKUP($D71,'2022Data to Complete Appendix C'!$C$8:$Q$313,3,FALSE)</f>
        <v>42</v>
      </c>
      <c r="H71" s="12">
        <f>VLOOKUP($D71,'2022Data to Complete Appendix C'!$C$8:$Q$313,4,FALSE)</f>
        <v>0</v>
      </c>
      <c r="I71" s="12">
        <f>VLOOKUP($D71,'2022Data to Complete Appendix C'!$C$8:$Q$313,5,FALSE)</f>
        <v>43</v>
      </c>
      <c r="J71" s="114">
        <f>VLOOKUP($D71,'2022Data to Complete Appendix C'!$C$8:$Q$313,6,FALSE)</f>
        <v>2.9285700000000001</v>
      </c>
      <c r="K71" s="114">
        <f>VLOOKUP($D71,'2022Data to Complete Appendix C'!$C$8:$Q$313,7,FALSE)</f>
        <v>1.95</v>
      </c>
      <c r="L71" s="114">
        <f>VLOOKUP($D71,'2022Data to Complete Appendix C'!$C$8:$Q$313,8,FALSE)</f>
        <v>1.07812</v>
      </c>
      <c r="M71" s="12">
        <f>VLOOKUP($D71,'2022Data to Complete Appendix C'!$C$8:$Q$313,9,FALSE)</f>
        <v>4.9278199999999996</v>
      </c>
      <c r="N71" s="114">
        <f>VLOOKUP($D71,'2022Data to Complete Appendix C'!$C$8:$Q$313,10,FALSE)</f>
        <v>0.10500900000000001</v>
      </c>
      <c r="O71" s="115">
        <f>VLOOKUP($D71,'2022Data to Complete Appendix C'!$C$8:$Q$313,11,FALSE)</f>
        <v>0.56699999999999995</v>
      </c>
      <c r="P71" s="115">
        <f>VLOOKUP($D71,'2022Data to Complete Appendix C'!$C$8:$Q$313,12,FALSE)</f>
        <v>0.772675</v>
      </c>
      <c r="Q71" s="115">
        <f>VLOOKUP($D71,'2022Data to Complete Appendix C'!$C$8:$Q$313,13,FALSE)</f>
        <v>0.66900000000000004</v>
      </c>
      <c r="R71" s="114">
        <f>VLOOKUP($D71,'2022Data to Complete Appendix C'!$C$8:$Q$313,14,FALSE)</f>
        <v>2.2999999999999998</v>
      </c>
      <c r="S71" s="115">
        <f>VLOOKUP($D71,'2022Data to Complete Appendix C'!$C$8:$Q$313,15,FALSE)</f>
        <v>-2.26372E-2</v>
      </c>
      <c r="T71" s="12">
        <f>IFERROR(VLOOKUP($D71,'2022LodgingbyWUP'!$A$1:$D$98,4,FALSE),0)</f>
        <v>0</v>
      </c>
      <c r="U71" s="12">
        <f t="shared" si="1"/>
        <v>0</v>
      </c>
      <c r="V71" s="12">
        <f>IFERROR(VLOOKUP($D71,Total_DU!$B$5:$Z$174,22,0),0)</f>
        <v>0</v>
      </c>
      <c r="W71" s="12">
        <f>IFERROR(VLOOKUP($D71,Total_DU!$B$5:$Z$174,23,0),0)</f>
        <v>0</v>
      </c>
      <c r="X71" s="12">
        <f>IFERROR(VLOOKUP($D71,Total_DU!$B$5:$Z$174,24,0),0)</f>
        <v>0</v>
      </c>
      <c r="Y71" s="12">
        <f>IFERROR(VLOOKUP($D71,Total_DU!$B$5:$Z$174,25,0),0)</f>
        <v>0</v>
      </c>
      <c r="Z71" s="12">
        <f>IFERROR(VLOOKUP($D71,Population!$B$5:$Y$174,21,FALSE),0)</f>
        <v>0</v>
      </c>
      <c r="AA71" s="12">
        <f>IFERROR(VLOOKUP($D71,Population!$B$5:$Y$174,22,FALSE),0)</f>
        <v>0</v>
      </c>
      <c r="AB71" s="12">
        <f>IFERROR(VLOOKUP($D71,Population!$B$5:$Y$174,23,FALSE),0)</f>
        <v>0</v>
      </c>
      <c r="AC71" s="12">
        <f>IFERROR(VLOOKUP($D71,Population!$B$5:$Y$174,24,FALSE),0)</f>
        <v>0</v>
      </c>
    </row>
    <row r="72" spans="1:29" ht="15" x14ac:dyDescent="0.25">
      <c r="A72" s="11" t="s">
        <v>38</v>
      </c>
      <c r="B72" s="11" t="s">
        <v>553</v>
      </c>
      <c r="C72" s="11" t="s">
        <v>8</v>
      </c>
      <c r="D72" s="11">
        <v>10443</v>
      </c>
      <c r="E72" s="11">
        <v>2022</v>
      </c>
      <c r="F72" s="12">
        <f>VLOOKUP($D72,'2022Data to Complete Appendix C'!$C$8:$Q$313,2,FALSE)</f>
        <v>5010</v>
      </c>
      <c r="G72" s="12">
        <f>VLOOKUP($D72,'2022Data to Complete Appendix C'!$C$8:$Q$313,3,FALSE)</f>
        <v>1857</v>
      </c>
      <c r="H72" s="12">
        <f>VLOOKUP($D72,'2022Data to Complete Appendix C'!$C$8:$Q$313,4,FALSE)</f>
        <v>44</v>
      </c>
      <c r="I72" s="12">
        <f>VLOOKUP($D72,'2022Data to Complete Appendix C'!$C$8:$Q$313,5,FALSE)</f>
        <v>1966</v>
      </c>
      <c r="J72" s="114">
        <f>VLOOKUP($D72,'2022Data to Complete Appendix C'!$C$8:$Q$313,6,FALSE)</f>
        <v>2.6979000000000002</v>
      </c>
      <c r="K72" s="114">
        <f>VLOOKUP($D72,'2022Data to Complete Appendix C'!$C$8:$Q$313,7,FALSE)</f>
        <v>1.95</v>
      </c>
      <c r="L72" s="114">
        <f>VLOOKUP($D72,'2022Data to Complete Appendix C'!$C$8:$Q$313,8,FALSE)</f>
        <v>1.0022800000000001</v>
      </c>
      <c r="M72" s="12">
        <f>VLOOKUP($D72,'2022Data to Complete Appendix C'!$C$8:$Q$313,9,FALSE)</f>
        <v>5.8706899999999997</v>
      </c>
      <c r="N72" s="114">
        <f>VLOOKUP($D72,'2022Data to Complete Appendix C'!$C$8:$Q$313,10,FALSE)</f>
        <v>3.1514199999999998E-3</v>
      </c>
      <c r="O72" s="115">
        <f>VLOOKUP($D72,'2022Data to Complete Appendix C'!$C$8:$Q$313,11,FALSE)</f>
        <v>0.56699999999999995</v>
      </c>
      <c r="P72" s="115">
        <f>VLOOKUP($D72,'2022Data to Complete Appendix C'!$C$8:$Q$313,12,FALSE)</f>
        <v>0.772675</v>
      </c>
      <c r="Q72" s="115">
        <f>VLOOKUP($D72,'2022Data to Complete Appendix C'!$C$8:$Q$313,13,FALSE)</f>
        <v>0.66900000000000004</v>
      </c>
      <c r="R72" s="114">
        <f>VLOOKUP($D72,'2022Data to Complete Appendix C'!$C$8:$Q$313,14,FALSE)</f>
        <v>2.2999999999999998</v>
      </c>
      <c r="S72" s="115">
        <f>VLOOKUP($D72,'2022Data to Complete Appendix C'!$C$8:$Q$313,15,FALSE)</f>
        <v>-0.83674499999999996</v>
      </c>
      <c r="T72" s="12">
        <f>IFERROR(VLOOKUP($D72,'2022LodgingbyWUP'!$A$1:$D$98,4,FALSE),0)</f>
        <v>0</v>
      </c>
      <c r="U72" s="12">
        <f t="shared" si="1"/>
        <v>0</v>
      </c>
      <c r="V72" s="12">
        <f>IFERROR(VLOOKUP($D72,Total_DU!$B$5:$Z$174,22,0),0)</f>
        <v>1022</v>
      </c>
      <c r="W72" s="12">
        <f>IFERROR(VLOOKUP($D72,Total_DU!$B$5:$Z$174,23,0),0)</f>
        <v>1022</v>
      </c>
      <c r="X72" s="12">
        <f>IFERROR(VLOOKUP($D72,Total_DU!$B$5:$Z$174,24,0),0)</f>
        <v>1022</v>
      </c>
      <c r="Y72" s="12">
        <f>IFERROR(VLOOKUP($D72,Total_DU!$B$5:$Z$174,25,0),0)</f>
        <v>1021</v>
      </c>
      <c r="Z72" s="12">
        <f>IFERROR(VLOOKUP($D72,Population!$B$5:$Y$174,21,FALSE),0)</f>
        <v>2776.2979473528426</v>
      </c>
      <c r="AA72" s="12">
        <f>IFERROR(VLOOKUP($D72,Population!$B$5:$Y$174,22,FALSE),0)</f>
        <v>2755</v>
      </c>
      <c r="AB72" s="12">
        <f>IFERROR(VLOOKUP($D72,Population!$B$5:$Y$174,23,FALSE),0)</f>
        <v>2776.2985653687424</v>
      </c>
      <c r="AC72" s="12">
        <f>IFERROR(VLOOKUP($D72,Population!$B$5:$Y$174,24,FALSE),0)</f>
        <v>2774</v>
      </c>
    </row>
    <row r="73" spans="1:29" ht="15" x14ac:dyDescent="0.25">
      <c r="A73" s="2" t="s">
        <v>38</v>
      </c>
      <c r="B73" s="2" t="s">
        <v>554</v>
      </c>
      <c r="C73" s="2" t="s">
        <v>140</v>
      </c>
      <c r="D73" s="2">
        <v>12994</v>
      </c>
      <c r="E73" s="11">
        <v>2022</v>
      </c>
      <c r="F73" s="12">
        <f>VLOOKUP($D73,'2022Data to Complete Appendix C'!$C$8:$Q$313,2,FALSE)</f>
        <v>5609</v>
      </c>
      <c r="G73" s="12">
        <f>VLOOKUP($D73,'2022Data to Complete Appendix C'!$C$8:$Q$313,3,FALSE)</f>
        <v>2178</v>
      </c>
      <c r="H73" s="12">
        <f>VLOOKUP($D73,'2022Data to Complete Appendix C'!$C$8:$Q$313,4,FALSE)</f>
        <v>0</v>
      </c>
      <c r="I73" s="12">
        <f>VLOOKUP($D73,'2022Data to Complete Appendix C'!$C$8:$Q$313,5,FALSE)</f>
        <v>2339</v>
      </c>
      <c r="J73" s="114">
        <f>VLOOKUP($D73,'2022Data to Complete Appendix C'!$C$8:$Q$313,6,FALSE)</f>
        <v>2.5752999999999999</v>
      </c>
      <c r="K73" s="114">
        <f>VLOOKUP($D73,'2022Data to Complete Appendix C'!$C$8:$Q$313,7,FALSE)</f>
        <v>1.95</v>
      </c>
      <c r="L73" s="114">
        <f>VLOOKUP($D73,'2022Data to Complete Appendix C'!$C$8:$Q$313,8,FALSE)</f>
        <v>1.00326</v>
      </c>
      <c r="M73" s="12">
        <f>VLOOKUP($D73,'2022Data to Complete Appendix C'!$C$8:$Q$313,9,FALSE)</f>
        <v>9.3771000000000004</v>
      </c>
      <c r="N73" s="114">
        <f>VLOOKUP($D73,'2022Data to Complete Appendix C'!$C$8:$Q$313,10,FALSE)</f>
        <v>4.2869099999999997E-3</v>
      </c>
      <c r="O73" s="115">
        <f>VLOOKUP($D73,'2022Data to Complete Appendix C'!$C$8:$Q$313,11,FALSE)</f>
        <v>0.56699999999999995</v>
      </c>
      <c r="P73" s="115">
        <f>VLOOKUP($D73,'2022Data to Complete Appendix C'!$C$8:$Q$313,12,FALSE)</f>
        <v>0.772675</v>
      </c>
      <c r="Q73" s="115">
        <f>VLOOKUP($D73,'2022Data to Complete Appendix C'!$C$8:$Q$313,13,FALSE)</f>
        <v>0.66900000000000004</v>
      </c>
      <c r="R73" s="114">
        <f>VLOOKUP($D73,'2022Data to Complete Appendix C'!$C$8:$Q$313,14,FALSE)</f>
        <v>2.2999999999999998</v>
      </c>
      <c r="S73" s="115">
        <f>VLOOKUP($D73,'2022Data to Complete Appendix C'!$C$8:$Q$313,15,FALSE)</f>
        <v>-0.53489799999999998</v>
      </c>
      <c r="T73" s="12">
        <f>IFERROR(VLOOKUP($D73,'2022LodgingbyWUP'!$A$1:$D$98,4,FALSE),0)</f>
        <v>0</v>
      </c>
      <c r="U73" s="12">
        <f t="shared" si="1"/>
        <v>0</v>
      </c>
      <c r="V73" s="12" t="str">
        <f>IFERROR(VLOOKUP($D73,Total_DU!$B$5:$Z$174,22,0),0)</f>
        <v>NA</v>
      </c>
      <c r="W73" s="12" t="str">
        <f>IFERROR(VLOOKUP($D73,Total_DU!$B$5:$Z$174,23,0),0)</f>
        <v>NA</v>
      </c>
      <c r="X73" s="12" t="str">
        <f>IFERROR(VLOOKUP($D73,Total_DU!$B$5:$Z$174,24,0),0)</f>
        <v>NA</v>
      </c>
      <c r="Y73" s="12" t="str">
        <f>IFERROR(VLOOKUP($D73,Total_DU!$B$5:$Z$174,25,0),0)</f>
        <v>NA</v>
      </c>
      <c r="Z73" s="12" t="str">
        <f>IFERROR(VLOOKUP($D73,Population!$B$5:$Y$174,21,FALSE),0)</f>
        <v>NA</v>
      </c>
      <c r="AA73" s="12" t="str">
        <f>IFERROR(VLOOKUP($D73,Population!$B$5:$Y$174,22,FALSE),0)</f>
        <v>NA</v>
      </c>
      <c r="AB73" s="12" t="str">
        <f>IFERROR(VLOOKUP($D73,Population!$B$5:$Y$174,23,FALSE),0)</f>
        <v>NA</v>
      </c>
      <c r="AC73" s="12" t="str">
        <f>IFERROR(VLOOKUP($D73,Population!$B$5:$Y$174,24,FALSE),0)</f>
        <v>NA</v>
      </c>
    </row>
    <row r="74" spans="1:29" ht="15" x14ac:dyDescent="0.25">
      <c r="A74" s="11" t="s">
        <v>38</v>
      </c>
      <c r="B74" s="11" t="s">
        <v>555</v>
      </c>
      <c r="C74" s="11" t="s">
        <v>113</v>
      </c>
      <c r="D74" s="11">
        <v>20141</v>
      </c>
      <c r="E74" s="11">
        <v>2022</v>
      </c>
      <c r="F74" s="12">
        <f>VLOOKUP($D74,'2022Data to Complete Appendix C'!$C$8:$Q$313,2,FALSE)</f>
        <v>557268</v>
      </c>
      <c r="G74" s="12">
        <f>VLOOKUP($D74,'2022Data to Complete Appendix C'!$C$8:$Q$313,3,FALSE)</f>
        <v>212664</v>
      </c>
      <c r="H74" s="12">
        <f>VLOOKUP($D74,'2022Data to Complete Appendix C'!$C$8:$Q$313,4,FALSE)</f>
        <v>2506</v>
      </c>
      <c r="I74" s="12">
        <f>VLOOKUP($D74,'2022Data to Complete Appendix C'!$C$8:$Q$313,5,FALSE)</f>
        <v>235105</v>
      </c>
      <c r="J74" s="114">
        <f>VLOOKUP($D74,'2022Data to Complete Appendix C'!$C$8:$Q$313,6,FALSE)</f>
        <v>2.6204200000000002</v>
      </c>
      <c r="K74" s="114">
        <f>VLOOKUP($D74,'2022Data to Complete Appendix C'!$C$8:$Q$313,7,FALSE)</f>
        <v>1.95</v>
      </c>
      <c r="L74" s="114">
        <f>VLOOKUP($D74,'2022Data to Complete Appendix C'!$C$8:$Q$313,8,FALSE)</f>
        <v>1.02704</v>
      </c>
      <c r="M74" s="12">
        <f>VLOOKUP($D74,'2022Data to Complete Appendix C'!$C$8:$Q$313,9,FALSE)</f>
        <v>7728.59</v>
      </c>
      <c r="N74" s="114">
        <f>VLOOKUP($D74,'2022Data to Complete Appendix C'!$C$8:$Q$313,10,FALSE)</f>
        <v>3.5067399999999999E-2</v>
      </c>
      <c r="O74" s="115">
        <f>VLOOKUP($D74,'2022Data to Complete Appendix C'!$C$8:$Q$313,11,FALSE)</f>
        <v>0.56699999999999995</v>
      </c>
      <c r="P74" s="115">
        <f>VLOOKUP($D74,'2022Data to Complete Appendix C'!$C$8:$Q$313,12,FALSE)</f>
        <v>0.772675</v>
      </c>
      <c r="Q74" s="115">
        <f>VLOOKUP($D74,'2022Data to Complete Appendix C'!$C$8:$Q$313,13,FALSE)</f>
        <v>0.66900000000000004</v>
      </c>
      <c r="R74" s="114">
        <f>VLOOKUP($D74,'2022Data to Complete Appendix C'!$C$8:$Q$313,14,FALSE)</f>
        <v>2.2999999999999998</v>
      </c>
      <c r="S74" s="115">
        <f>VLOOKUP($D74,'2022Data to Complete Appendix C'!$C$8:$Q$313,15,FALSE)</f>
        <v>-0.48954599999999998</v>
      </c>
      <c r="T74" s="12">
        <f>IFERROR(VLOOKUP($D74,'2022LodgingbyWUP'!$A$1:$D$98,4,FALSE),0)</f>
        <v>2366</v>
      </c>
      <c r="U74" s="12">
        <f t="shared" si="1"/>
        <v>3640.5641999999998</v>
      </c>
      <c r="V74" s="12">
        <f>IFERROR(VLOOKUP($D74,Total_DU!$B$5:$Z$174,22,0),0)</f>
        <v>242799</v>
      </c>
      <c r="W74" s="12">
        <f>IFERROR(VLOOKUP($D74,Total_DU!$B$5:$Z$174,23,0),0)</f>
        <v>250345</v>
      </c>
      <c r="X74" s="12">
        <f>IFERROR(VLOOKUP($D74,Total_DU!$B$5:$Z$174,24,0),0)</f>
        <v>257278</v>
      </c>
      <c r="Y74" s="12">
        <f>IFERROR(VLOOKUP($D74,Total_DU!$B$5:$Z$174,25,0),0)</f>
        <v>263873</v>
      </c>
      <c r="Z74" s="12">
        <f>IFERROR(VLOOKUP($D74,Population!$B$5:$Y$174,21,FALSE),0)</f>
        <v>632342.47286984127</v>
      </c>
      <c r="AA74" s="12">
        <f>IFERROR(VLOOKUP($D74,Population!$B$5:$Y$174,22,FALSE),0)</f>
        <v>652107.08575946547</v>
      </c>
      <c r="AB74" s="12">
        <f>IFERROR(VLOOKUP($D74,Population!$B$5:$Y$174,23,FALSE),0)</f>
        <v>670578.93387739535</v>
      </c>
      <c r="AC74" s="12">
        <f>IFERROR(VLOOKUP($D74,Population!$B$5:$Y$174,24,FALSE),0)</f>
        <v>686470</v>
      </c>
    </row>
    <row r="75" spans="1:29" ht="15" x14ac:dyDescent="0.25">
      <c r="A75" s="2" t="s">
        <v>28</v>
      </c>
      <c r="B75" s="2" t="s">
        <v>556</v>
      </c>
      <c r="C75" s="2" t="s">
        <v>93</v>
      </c>
      <c r="D75" s="2">
        <v>5640</v>
      </c>
      <c r="E75" s="11">
        <v>2022</v>
      </c>
      <c r="F75" s="12">
        <f>VLOOKUP($D75,'2022Data to Complete Appendix C'!$C$8:$Q$313,2,FALSE)</f>
        <v>5257</v>
      </c>
      <c r="G75" s="12">
        <f>VLOOKUP($D75,'2022Data to Complete Appendix C'!$C$8:$Q$313,3,FALSE)</f>
        <v>2048</v>
      </c>
      <c r="H75" s="12">
        <f>VLOOKUP($D75,'2022Data to Complete Appendix C'!$C$8:$Q$313,4,FALSE)</f>
        <v>165</v>
      </c>
      <c r="I75" s="12">
        <f>VLOOKUP($D75,'2022Data to Complete Appendix C'!$C$8:$Q$313,5,FALSE)</f>
        <v>2304</v>
      </c>
      <c r="J75" s="114">
        <f>VLOOKUP($D75,'2022Data to Complete Appendix C'!$C$8:$Q$313,6,FALSE)</f>
        <v>2.5668899999999999</v>
      </c>
      <c r="K75" s="114">
        <f>VLOOKUP($D75,'2022Data to Complete Appendix C'!$C$8:$Q$313,7,FALSE)</f>
        <v>1.95</v>
      </c>
      <c r="L75" s="114">
        <f>VLOOKUP($D75,'2022Data to Complete Appendix C'!$C$8:$Q$313,8,FALSE)</f>
        <v>1.0198199999999999</v>
      </c>
      <c r="M75" s="12">
        <f>VLOOKUP($D75,'2022Data to Complete Appendix C'!$C$8:$Q$313,9,FALSE)</f>
        <v>53.43</v>
      </c>
      <c r="N75" s="114">
        <f>VLOOKUP($D75,'2022Data to Complete Appendix C'!$C$8:$Q$313,10,FALSE)</f>
        <v>2.54255E-2</v>
      </c>
      <c r="O75" s="115">
        <f>VLOOKUP($D75,'2022Data to Complete Appendix C'!$C$8:$Q$313,11,FALSE)</f>
        <v>0.56699999999999995</v>
      </c>
      <c r="P75" s="115">
        <f>VLOOKUP($D75,'2022Data to Complete Appendix C'!$C$8:$Q$313,12,FALSE)</f>
        <v>0.772675</v>
      </c>
      <c r="Q75" s="115">
        <f>VLOOKUP($D75,'2022Data to Complete Appendix C'!$C$8:$Q$313,13,FALSE)</f>
        <v>0.66500000000000004</v>
      </c>
      <c r="R75" s="114">
        <f>VLOOKUP($D75,'2022Data to Complete Appendix C'!$C$8:$Q$313,14,FALSE)</f>
        <v>2.2999999999999998</v>
      </c>
      <c r="S75" s="115">
        <f>VLOOKUP($D75,'2022Data to Complete Appendix C'!$C$8:$Q$313,15,FALSE)</f>
        <v>-0.31641999999999998</v>
      </c>
      <c r="T75" s="12">
        <f>IFERROR(VLOOKUP($D75,'2022LodgingbyWUP'!$A$1:$D$98,4,FALSE),0)</f>
        <v>9</v>
      </c>
      <c r="U75" s="12">
        <f t="shared" si="1"/>
        <v>13.765499999999999</v>
      </c>
      <c r="V75" s="12">
        <f>IFERROR(VLOOKUP($D75,Total_DU!$B$5:$Z$174,22,0),0)</f>
        <v>1250</v>
      </c>
      <c r="W75" s="12">
        <f>IFERROR(VLOOKUP($D75,Total_DU!$B$5:$Z$174,23,0),0)</f>
        <v>1254</v>
      </c>
      <c r="X75" s="12">
        <f>IFERROR(VLOOKUP($D75,Total_DU!$B$5:$Z$174,24,0),0)</f>
        <v>1271</v>
      </c>
      <c r="Y75" s="12">
        <f>IFERROR(VLOOKUP($D75,Total_DU!$B$5:$Z$174,25,0),0)</f>
        <v>1885</v>
      </c>
      <c r="Z75" s="12">
        <f>IFERROR(VLOOKUP($D75,Population!$B$5:$Y$174,21,FALSE),0)</f>
        <v>3265.4344317401037</v>
      </c>
      <c r="AA75" s="12">
        <f>IFERROR(VLOOKUP($D75,Population!$B$5:$Y$174,22,FALSE),0)</f>
        <v>3274.8810207590373</v>
      </c>
      <c r="AB75" s="12">
        <f>IFERROR(VLOOKUP($D75,Population!$B$5:$Y$174,23,FALSE),0)</f>
        <v>3319.2773348761443</v>
      </c>
      <c r="AC75" s="12">
        <f>IFERROR(VLOOKUP($D75,Population!$B$5:$Y$174,24,FALSE),0)</f>
        <v>4923</v>
      </c>
    </row>
    <row r="76" spans="1:29" ht="15" x14ac:dyDescent="0.25">
      <c r="A76" s="11" t="s">
        <v>28</v>
      </c>
      <c r="B76" s="11" t="s">
        <v>557</v>
      </c>
      <c r="C76" s="11" t="s">
        <v>171</v>
      </c>
      <c r="D76" s="11">
        <v>7755</v>
      </c>
      <c r="E76" s="11">
        <v>2022</v>
      </c>
      <c r="F76" s="12">
        <f>VLOOKUP($D76,'2022Data to Complete Appendix C'!$C$8:$Q$313,2,FALSE)</f>
        <v>676</v>
      </c>
      <c r="G76" s="12">
        <f>VLOOKUP($D76,'2022Data to Complete Appendix C'!$C$8:$Q$313,3,FALSE)</f>
        <v>329</v>
      </c>
      <c r="H76" s="12">
        <f>VLOOKUP($D76,'2022Data to Complete Appendix C'!$C$8:$Q$313,4,FALSE)</f>
        <v>0</v>
      </c>
      <c r="I76" s="12">
        <f>VLOOKUP($D76,'2022Data to Complete Appendix C'!$C$8:$Q$313,5,FALSE)</f>
        <v>586</v>
      </c>
      <c r="J76" s="114">
        <f>VLOOKUP($D76,'2022Data to Complete Appendix C'!$C$8:$Q$313,6,FALSE)</f>
        <v>2.05471</v>
      </c>
      <c r="K76" s="114">
        <f>VLOOKUP($D76,'2022Data to Complete Appendix C'!$C$8:$Q$313,7,FALSE)</f>
        <v>1.95</v>
      </c>
      <c r="L76" s="114">
        <f>VLOOKUP($D76,'2022Data to Complete Appendix C'!$C$8:$Q$313,8,FALSE)</f>
        <v>1.08744</v>
      </c>
      <c r="M76" s="12">
        <f>VLOOKUP($D76,'2022Data to Complete Appendix C'!$C$8:$Q$313,9,FALSE)</f>
        <v>30.312899999999999</v>
      </c>
      <c r="N76" s="114">
        <f>VLOOKUP($D76,'2022Data to Complete Appendix C'!$C$8:$Q$313,10,FALSE)</f>
        <v>8.4363499999999994E-2</v>
      </c>
      <c r="O76" s="115">
        <f>VLOOKUP($D76,'2022Data to Complete Appendix C'!$C$8:$Q$313,11,FALSE)</f>
        <v>0.56699999999999995</v>
      </c>
      <c r="P76" s="115">
        <f>VLOOKUP($D76,'2022Data to Complete Appendix C'!$C$8:$Q$313,12,FALSE)</f>
        <v>0.772675</v>
      </c>
      <c r="Q76" s="115">
        <f>VLOOKUP($D76,'2022Data to Complete Appendix C'!$C$8:$Q$313,13,FALSE)</f>
        <v>0.66500000000000004</v>
      </c>
      <c r="R76" s="114">
        <f>VLOOKUP($D76,'2022Data to Complete Appendix C'!$C$8:$Q$313,14,FALSE)</f>
        <v>2.2999999999999998</v>
      </c>
      <c r="S76" s="115">
        <f>VLOOKUP($D76,'2022Data to Complete Appendix C'!$C$8:$Q$313,15,FALSE)</f>
        <v>-0.45571800000000001</v>
      </c>
      <c r="T76" s="12">
        <f>IFERROR(VLOOKUP($D76,'2022LodgingbyWUP'!$A$1:$D$98,4,FALSE),0)</f>
        <v>1</v>
      </c>
      <c r="U76" s="12">
        <f t="shared" si="1"/>
        <v>1.5294999999999999</v>
      </c>
      <c r="V76" s="12">
        <f>IFERROR(VLOOKUP($D76,Total_DU!$B$5:$Z$174,22,0),0)</f>
        <v>0</v>
      </c>
      <c r="W76" s="12">
        <f>IFERROR(VLOOKUP($D76,Total_DU!$B$5:$Z$174,23,0),0)</f>
        <v>0</v>
      </c>
      <c r="X76" s="12" t="str">
        <f>IFERROR(VLOOKUP($D76,Total_DU!$B$5:$Z$174,24,0),0)</f>
        <v>NA</v>
      </c>
      <c r="Y76" s="12" t="str">
        <f>IFERROR(VLOOKUP($D76,Total_DU!$B$5:$Z$174,25,0),0)</f>
        <v>NA</v>
      </c>
      <c r="Z76" s="12" t="str">
        <f>IFERROR(VLOOKUP($D76,Population!$B$5:$Y$174,21,FALSE),0)</f>
        <v>NA</v>
      </c>
      <c r="AA76" s="12" t="str">
        <f>IFERROR(VLOOKUP($D76,Population!$B$5:$Y$174,22,FALSE),0)</f>
        <v>NA</v>
      </c>
      <c r="AB76" s="12" t="str">
        <f>IFERROR(VLOOKUP($D76,Population!$B$5:$Y$174,23,FALSE),0)</f>
        <v>NA</v>
      </c>
      <c r="AC76" s="12" t="str">
        <f>IFERROR(VLOOKUP($D76,Population!$B$5:$Y$174,24,FALSE),0)</f>
        <v>NA</v>
      </c>
    </row>
    <row r="77" spans="1:29" ht="15" x14ac:dyDescent="0.25">
      <c r="A77" s="2" t="s">
        <v>28</v>
      </c>
      <c r="B77" s="2" t="s">
        <v>558</v>
      </c>
      <c r="C77" s="2" t="s">
        <v>131</v>
      </c>
      <c r="D77" s="2">
        <v>7825</v>
      </c>
      <c r="E77" s="11">
        <v>2022</v>
      </c>
      <c r="F77" s="12">
        <f>VLOOKUP($D77,'2022Data to Complete Appendix C'!$C$8:$Q$313,2,FALSE)</f>
        <v>66</v>
      </c>
      <c r="G77" s="12">
        <f>VLOOKUP($D77,'2022Data to Complete Appendix C'!$C$8:$Q$313,3,FALSE)</f>
        <v>35</v>
      </c>
      <c r="H77" s="12">
        <f>VLOOKUP($D77,'2022Data to Complete Appendix C'!$C$8:$Q$313,4,FALSE)</f>
        <v>0</v>
      </c>
      <c r="I77" s="12">
        <f>VLOOKUP($D77,'2022Data to Complete Appendix C'!$C$8:$Q$313,5,FALSE)</f>
        <v>40</v>
      </c>
      <c r="J77" s="114">
        <f>VLOOKUP($D77,'2022Data to Complete Appendix C'!$C$8:$Q$313,6,FALSE)</f>
        <v>1.88571</v>
      </c>
      <c r="K77" s="114">
        <f>VLOOKUP($D77,'2022Data to Complete Appendix C'!$C$8:$Q$313,7,FALSE)</f>
        <v>1.95</v>
      </c>
      <c r="L77" s="114">
        <f>VLOOKUP($D77,'2022Data to Complete Appendix C'!$C$8:$Q$313,8,FALSE)</f>
        <v>1.0198199999999999</v>
      </c>
      <c r="M77" s="12">
        <f>VLOOKUP($D77,'2022Data to Complete Appendix C'!$C$8:$Q$313,9,FALSE)</f>
        <v>0.67079699999999998</v>
      </c>
      <c r="N77" s="114">
        <f>VLOOKUP($D77,'2022Data to Complete Appendix C'!$C$8:$Q$313,10,FALSE)</f>
        <v>1.8805200000000001E-2</v>
      </c>
      <c r="O77" s="115">
        <f>VLOOKUP($D77,'2022Data to Complete Appendix C'!$C$8:$Q$313,11,FALSE)</f>
        <v>0.56699999999999995</v>
      </c>
      <c r="P77" s="115">
        <f>VLOOKUP($D77,'2022Data to Complete Appendix C'!$C$8:$Q$313,12,FALSE)</f>
        <v>0.772675</v>
      </c>
      <c r="Q77" s="115">
        <f>VLOOKUP($D77,'2022Data to Complete Appendix C'!$C$8:$Q$313,13,FALSE)</f>
        <v>0.66500000000000004</v>
      </c>
      <c r="R77" s="114">
        <f>VLOOKUP($D77,'2022Data to Complete Appendix C'!$C$8:$Q$313,14,FALSE)</f>
        <v>2.2999999999999998</v>
      </c>
      <c r="S77" s="115">
        <f>VLOOKUP($D77,'2022Data to Complete Appendix C'!$C$8:$Q$313,15,FALSE)</f>
        <v>-0.74034</v>
      </c>
      <c r="T77" s="12">
        <f>IFERROR(VLOOKUP($D77,'2022LodgingbyWUP'!$A$1:$D$98,4,FALSE),0)</f>
        <v>0</v>
      </c>
      <c r="U77" s="12">
        <f t="shared" si="1"/>
        <v>0</v>
      </c>
      <c r="V77" s="12">
        <f>IFERROR(VLOOKUP($D77,Total_DU!$B$5:$Z$174,22,0),0)</f>
        <v>0</v>
      </c>
      <c r="W77" s="12">
        <f>IFERROR(VLOOKUP($D77,Total_DU!$B$5:$Z$174,23,0),0)</f>
        <v>0</v>
      </c>
      <c r="X77" s="12">
        <f>IFERROR(VLOOKUP($D77,Total_DU!$B$5:$Z$174,24,0),0)</f>
        <v>0</v>
      </c>
      <c r="Y77" s="12">
        <f>IFERROR(VLOOKUP($D77,Total_DU!$B$5:$Z$174,25,0),0)</f>
        <v>0</v>
      </c>
      <c r="Z77" s="12">
        <f>IFERROR(VLOOKUP($D77,Population!$B$5:$Y$174,21,FALSE),0)</f>
        <v>0</v>
      </c>
      <c r="AA77" s="12">
        <f>IFERROR(VLOOKUP($D77,Population!$B$5:$Y$174,22,FALSE),0)</f>
        <v>0</v>
      </c>
      <c r="AB77" s="12">
        <f>IFERROR(VLOOKUP($D77,Population!$B$5:$Y$174,23,FALSE),0)</f>
        <v>0</v>
      </c>
      <c r="AC77" s="12">
        <f>IFERROR(VLOOKUP($D77,Population!$B$5:$Y$174,24,FALSE),0)</f>
        <v>0</v>
      </c>
    </row>
    <row r="78" spans="1:29" ht="15" x14ac:dyDescent="0.25">
      <c r="A78" s="11" t="s">
        <v>28</v>
      </c>
      <c r="B78" s="11" t="s">
        <v>559</v>
      </c>
      <c r="C78" s="11" t="s">
        <v>167</v>
      </c>
      <c r="D78" s="11">
        <v>8953</v>
      </c>
      <c r="E78" s="11">
        <v>2022</v>
      </c>
      <c r="F78" s="12">
        <f>VLOOKUP($D78,'2022Data to Complete Appendix C'!$C$8:$Q$313,2,FALSE)</f>
        <v>1508</v>
      </c>
      <c r="G78" s="12">
        <f>VLOOKUP($D78,'2022Data to Complete Appendix C'!$C$8:$Q$313,3,FALSE)</f>
        <v>708</v>
      </c>
      <c r="H78" s="12">
        <f>VLOOKUP($D78,'2022Data to Complete Appendix C'!$C$8:$Q$313,4,FALSE)</f>
        <v>43</v>
      </c>
      <c r="I78" s="12">
        <f>VLOOKUP($D78,'2022Data to Complete Appendix C'!$C$8:$Q$313,5,FALSE)</f>
        <v>940</v>
      </c>
      <c r="J78" s="114">
        <f>VLOOKUP($D78,'2022Data to Complete Appendix C'!$C$8:$Q$313,6,FALSE)</f>
        <v>2.1299399999999999</v>
      </c>
      <c r="K78" s="114">
        <f>VLOOKUP($D78,'2022Data to Complete Appendix C'!$C$8:$Q$313,7,FALSE)</f>
        <v>1.95</v>
      </c>
      <c r="L78" s="114">
        <f>VLOOKUP($D78,'2022Data to Complete Appendix C'!$C$8:$Q$313,8,FALSE)</f>
        <v>1.2608299999999999</v>
      </c>
      <c r="M78" s="12">
        <f>VLOOKUP($D78,'2022Data to Complete Appendix C'!$C$8:$Q$313,9,FALSE)</f>
        <v>201.70699999999999</v>
      </c>
      <c r="N78" s="114">
        <f>VLOOKUP($D78,'2022Data to Complete Appendix C'!$C$8:$Q$313,10,FALSE)</f>
        <v>0.22172700000000001</v>
      </c>
      <c r="O78" s="115">
        <f>VLOOKUP($D78,'2022Data to Complete Appendix C'!$C$8:$Q$313,11,FALSE)</f>
        <v>0.56699999999999995</v>
      </c>
      <c r="P78" s="115">
        <f>VLOOKUP($D78,'2022Data to Complete Appendix C'!$C$8:$Q$313,12,FALSE)</f>
        <v>0.772675</v>
      </c>
      <c r="Q78" s="115">
        <f>VLOOKUP($D78,'2022Data to Complete Appendix C'!$C$8:$Q$313,13,FALSE)</f>
        <v>0.66500000000000004</v>
      </c>
      <c r="R78" s="114">
        <f>VLOOKUP($D78,'2022Data to Complete Appendix C'!$C$8:$Q$313,14,FALSE)</f>
        <v>2.2999999999999998</v>
      </c>
      <c r="S78" s="115">
        <f>VLOOKUP($D78,'2022Data to Complete Appendix C'!$C$8:$Q$313,15,FALSE)</f>
        <v>-0.45571800000000001</v>
      </c>
      <c r="T78" s="12">
        <f>IFERROR(VLOOKUP($D78,'2022LodgingbyWUP'!$A$1:$D$98,4,FALSE),0)</f>
        <v>50</v>
      </c>
      <c r="U78" s="12">
        <f t="shared" si="1"/>
        <v>76.474999999999994</v>
      </c>
      <c r="V78" s="12">
        <f>IFERROR(VLOOKUP($D78,Total_DU!$B$5:$Z$174,22,0),0)</f>
        <v>774</v>
      </c>
      <c r="W78" s="12">
        <f>IFERROR(VLOOKUP($D78,Total_DU!$B$5:$Z$174,23,0),0)</f>
        <v>779</v>
      </c>
      <c r="X78" s="12">
        <f>IFERROR(VLOOKUP($D78,Total_DU!$B$5:$Z$174,24,0),0)</f>
        <v>781</v>
      </c>
      <c r="Y78" s="12">
        <f>IFERROR(VLOOKUP($D78,Total_DU!$B$5:$Z$174,25,0),0)</f>
        <v>776</v>
      </c>
      <c r="Z78" s="12">
        <f>IFERROR(VLOOKUP($D78,Population!$B$5:$Y$174,21,FALSE),0)</f>
        <v>1649.9029011381811</v>
      </c>
      <c r="AA78" s="12">
        <f>IFERROR(VLOOKUP($D78,Population!$B$5:$Y$174,22,FALSE),0)</f>
        <v>1659.4271957961359</v>
      </c>
      <c r="AB78" s="12">
        <f>IFERROR(VLOOKUP($D78,Population!$B$5:$Y$174,23,FALSE),0)</f>
        <v>1664.6439968700677</v>
      </c>
      <c r="AC78" s="12">
        <f>IFERROR(VLOOKUP($D78,Population!$B$5:$Y$174,24,FALSE),0)</f>
        <v>1633</v>
      </c>
    </row>
    <row r="79" spans="1:29" ht="15" x14ac:dyDescent="0.25">
      <c r="A79" s="2" t="s">
        <v>19</v>
      </c>
      <c r="B79" s="2" t="s">
        <v>560</v>
      </c>
      <c r="C79" s="2" t="s">
        <v>58</v>
      </c>
      <c r="D79" s="2">
        <v>6392</v>
      </c>
      <c r="E79" s="11">
        <v>2022</v>
      </c>
      <c r="F79" s="12">
        <f>VLOOKUP($D79,'2022Data to Complete Appendix C'!$C$8:$Q$313,2,FALSE)</f>
        <v>58817</v>
      </c>
      <c r="G79" s="12">
        <f>VLOOKUP($D79,'2022Data to Complete Appendix C'!$C$8:$Q$313,3,FALSE)</f>
        <v>26365</v>
      </c>
      <c r="H79" s="12">
        <f>VLOOKUP($D79,'2022Data to Complete Appendix C'!$C$8:$Q$313,4,FALSE)</f>
        <v>1825</v>
      </c>
      <c r="I79" s="12">
        <f>VLOOKUP($D79,'2022Data to Complete Appendix C'!$C$8:$Q$313,5,FALSE)</f>
        <v>32870</v>
      </c>
      <c r="J79" s="114">
        <f>VLOOKUP($D79,'2022Data to Complete Appendix C'!$C$8:$Q$313,6,FALSE)</f>
        <v>2.2308699999999999</v>
      </c>
      <c r="K79" s="114">
        <f>VLOOKUP($D79,'2022Data to Complete Appendix C'!$C$8:$Q$313,7,FALSE)</f>
        <v>1.95</v>
      </c>
      <c r="L79" s="114">
        <f>VLOOKUP($D79,'2022Data to Complete Appendix C'!$C$8:$Q$313,8,FALSE)</f>
        <v>1.0703400000000001</v>
      </c>
      <c r="M79" s="12">
        <f>VLOOKUP($D79,'2022Data to Complete Appendix C'!$C$8:$Q$313,9,FALSE)</f>
        <v>2121.67</v>
      </c>
      <c r="N79" s="114">
        <f>VLOOKUP($D79,'2022Data to Complete Appendix C'!$C$8:$Q$313,10,FALSE)</f>
        <v>7.4479199999999995E-2</v>
      </c>
      <c r="O79" s="115">
        <f>VLOOKUP($D79,'2022Data to Complete Appendix C'!$C$8:$Q$313,11,FALSE)</f>
        <v>0.442</v>
      </c>
      <c r="P79" s="115">
        <f>VLOOKUP($D79,'2022Data to Complete Appendix C'!$C$8:$Q$313,12,FALSE)</f>
        <v>0.70704999999999996</v>
      </c>
      <c r="Q79" s="115">
        <f>VLOOKUP($D79,'2022Data to Complete Appendix C'!$C$8:$Q$313,13,FALSE)</f>
        <v>0.68899999999999995</v>
      </c>
      <c r="R79" s="114">
        <f>VLOOKUP($D79,'2022Data to Complete Appendix C'!$C$8:$Q$313,14,FALSE)</f>
        <v>2.7</v>
      </c>
      <c r="S79" s="115">
        <f>VLOOKUP($D79,'2022Data to Complete Appendix C'!$C$8:$Q$313,15,FALSE)</f>
        <v>0.21307899999999999</v>
      </c>
      <c r="T79" s="12">
        <f>IFERROR(VLOOKUP($D79,'2022LodgingbyWUP'!$A$1:$D$98,4,FALSE),0)</f>
        <v>1132</v>
      </c>
      <c r="U79" s="12">
        <f t="shared" si="1"/>
        <v>2105.8596000000002</v>
      </c>
      <c r="V79" s="12">
        <f>IFERROR(VLOOKUP($D79,Total_DU!$B$5:$Z$174,22,0),0)</f>
        <v>30822</v>
      </c>
      <c r="W79" s="12">
        <f>IFERROR(VLOOKUP($D79,Total_DU!$B$5:$Z$174,23,0),0)</f>
        <v>30078</v>
      </c>
      <c r="X79" s="12">
        <f>IFERROR(VLOOKUP($D79,Total_DU!$B$5:$Z$174,24,0),0)</f>
        <v>32503</v>
      </c>
      <c r="Y79" s="12">
        <f>IFERROR(VLOOKUP($D79,Total_DU!$B$5:$Z$174,25,0),0)</f>
        <v>32503</v>
      </c>
      <c r="Z79" s="12">
        <f>IFERROR(VLOOKUP($D79,Population!$B$5:$Y$174,21,FALSE),0)</f>
        <v>71749.204424195894</v>
      </c>
      <c r="AA79" s="12">
        <f>IFERROR(VLOOKUP($D79,Population!$B$5:$Y$174,22,FALSE),0)</f>
        <v>70311.114359743922</v>
      </c>
      <c r="AB79" s="12">
        <f>IFERROR(VLOOKUP($D79,Population!$B$5:$Y$174,23,FALSE),0)</f>
        <v>75465.885364008311</v>
      </c>
      <c r="AC79" s="12">
        <f>IFERROR(VLOOKUP($D79,Population!$B$5:$Y$174,24,FALSE),0)</f>
        <v>75307</v>
      </c>
    </row>
    <row r="80" spans="1:29" ht="15" x14ac:dyDescent="0.25">
      <c r="A80" s="11" t="s">
        <v>19</v>
      </c>
      <c r="B80" s="11" t="s">
        <v>561</v>
      </c>
      <c r="C80" s="11" t="s">
        <v>170</v>
      </c>
      <c r="D80" s="11">
        <v>10963</v>
      </c>
      <c r="E80" s="11">
        <v>2022</v>
      </c>
      <c r="F80" s="12">
        <f>VLOOKUP($D80,'2022Data to Complete Appendix C'!$C$8:$Q$313,2,FALSE)</f>
        <v>6888</v>
      </c>
      <c r="G80" s="12">
        <f>VLOOKUP($D80,'2022Data to Complete Appendix C'!$C$8:$Q$313,3,FALSE)</f>
        <v>3883</v>
      </c>
      <c r="H80" s="12">
        <f>VLOOKUP($D80,'2022Data to Complete Appendix C'!$C$8:$Q$313,4,FALSE)</f>
        <v>0</v>
      </c>
      <c r="I80" s="12">
        <f>VLOOKUP($D80,'2022Data to Complete Appendix C'!$C$8:$Q$313,5,FALSE)</f>
        <v>8814</v>
      </c>
      <c r="J80" s="114">
        <f>VLOOKUP($D80,'2022Data to Complete Appendix C'!$C$8:$Q$313,6,FALSE)</f>
        <v>1.77389</v>
      </c>
      <c r="K80" s="114">
        <f>VLOOKUP($D80,'2022Data to Complete Appendix C'!$C$8:$Q$313,7,FALSE)</f>
        <v>1.95</v>
      </c>
      <c r="L80" s="114">
        <f>VLOOKUP($D80,'2022Data to Complete Appendix C'!$C$8:$Q$313,8,FALSE)</f>
        <v>1.3169299999999999</v>
      </c>
      <c r="M80" s="12">
        <f>VLOOKUP($D80,'2022Data to Complete Appendix C'!$C$8:$Q$313,9,FALSE)</f>
        <v>1119.51</v>
      </c>
      <c r="N80" s="114">
        <f>VLOOKUP($D80,'2022Data to Complete Appendix C'!$C$8:$Q$313,10,FALSE)</f>
        <v>0.22378999999999999</v>
      </c>
      <c r="O80" s="115">
        <f>VLOOKUP($D80,'2022Data to Complete Appendix C'!$C$8:$Q$313,11,FALSE)</f>
        <v>0.442</v>
      </c>
      <c r="P80" s="115">
        <f>VLOOKUP($D80,'2022Data to Complete Appendix C'!$C$8:$Q$313,12,FALSE)</f>
        <v>0.70704999999999996</v>
      </c>
      <c r="Q80" s="115">
        <f>VLOOKUP($D80,'2022Data to Complete Appendix C'!$C$8:$Q$313,13,FALSE)</f>
        <v>0.68899999999999995</v>
      </c>
      <c r="R80" s="114">
        <f>VLOOKUP($D80,'2022Data to Complete Appendix C'!$C$8:$Q$313,14,FALSE)</f>
        <v>2.7</v>
      </c>
      <c r="S80" s="115">
        <f>VLOOKUP($D80,'2022Data to Complete Appendix C'!$C$8:$Q$313,15,FALSE)</f>
        <v>0.17724999999999999</v>
      </c>
      <c r="T80" s="12">
        <f>IFERROR(VLOOKUP($D80,'2022LodgingbyWUP'!$A$1:$D$98,4,FALSE),0)</f>
        <v>1288</v>
      </c>
      <c r="U80" s="12">
        <f t="shared" si="1"/>
        <v>2396.0663999999997</v>
      </c>
      <c r="V80" s="12">
        <f>IFERROR(VLOOKUP($D80,Total_DU!$B$5:$Z$174,22,0),0)</f>
        <v>10157</v>
      </c>
      <c r="W80" s="12">
        <f>IFERROR(VLOOKUP($D80,Total_DU!$B$5:$Z$174,23,0),0)</f>
        <v>9560</v>
      </c>
      <c r="X80" s="12">
        <f>IFERROR(VLOOKUP($D80,Total_DU!$B$5:$Z$174,24,0),0)</f>
        <v>9542</v>
      </c>
      <c r="Y80" s="12">
        <f>IFERROR(VLOOKUP($D80,Total_DU!$B$5:$Z$174,25,0),0)</f>
        <v>9454</v>
      </c>
      <c r="Z80" s="12">
        <f>IFERROR(VLOOKUP($D80,Population!$B$5:$Y$174,21,FALSE),0)</f>
        <v>19909.965626204437</v>
      </c>
      <c r="AA80" s="12">
        <f>IFERROR(VLOOKUP($D80,Population!$B$5:$Y$174,22,FALSE),0)</f>
        <v>18778.025143505314</v>
      </c>
      <c r="AB80" s="12">
        <f>IFERROR(VLOOKUP($D80,Population!$B$5:$Y$174,23,FALSE),0)</f>
        <v>19000.186461470061</v>
      </c>
      <c r="AC80" s="12">
        <f>IFERROR(VLOOKUP($D80,Population!$B$5:$Y$174,24,FALSE),0)</f>
        <v>18356</v>
      </c>
    </row>
    <row r="81" spans="1:29" ht="15" x14ac:dyDescent="0.25">
      <c r="A81" s="2" t="s">
        <v>19</v>
      </c>
      <c r="B81" s="2" t="s">
        <v>562</v>
      </c>
      <c r="C81" s="2" t="s">
        <v>78</v>
      </c>
      <c r="D81" s="2">
        <v>12443</v>
      </c>
      <c r="E81" s="11">
        <v>2022</v>
      </c>
      <c r="F81" s="12">
        <f>VLOOKUP($D81,'2022Data to Complete Appendix C'!$C$8:$Q$313,2,FALSE)</f>
        <v>14620</v>
      </c>
      <c r="G81" s="12">
        <f>VLOOKUP($D81,'2022Data to Complete Appendix C'!$C$8:$Q$313,3,FALSE)</f>
        <v>5721</v>
      </c>
      <c r="H81" s="12">
        <f>VLOOKUP($D81,'2022Data to Complete Appendix C'!$C$8:$Q$313,4,FALSE)</f>
        <v>242</v>
      </c>
      <c r="I81" s="12">
        <f>VLOOKUP($D81,'2022Data to Complete Appendix C'!$C$8:$Q$313,5,FALSE)</f>
        <v>7695</v>
      </c>
      <c r="J81" s="114">
        <f>VLOOKUP($D81,'2022Data to Complete Appendix C'!$C$8:$Q$313,6,FALSE)</f>
        <v>2.5554999999999999</v>
      </c>
      <c r="K81" s="114">
        <f>VLOOKUP($D81,'2022Data to Complete Appendix C'!$C$8:$Q$313,7,FALSE)</f>
        <v>1.95</v>
      </c>
      <c r="L81" s="114">
        <f>VLOOKUP($D81,'2022Data to Complete Appendix C'!$C$8:$Q$313,8,FALSE)</f>
        <v>1.10914</v>
      </c>
      <c r="M81" s="12">
        <f>VLOOKUP($D81,'2022Data to Complete Appendix C'!$C$8:$Q$313,9,FALSE)</f>
        <v>818.26300000000003</v>
      </c>
      <c r="N81" s="114">
        <f>VLOOKUP($D81,'2022Data to Complete Appendix C'!$C$8:$Q$313,10,FALSE)</f>
        <v>0.12513099999999999</v>
      </c>
      <c r="O81" s="115">
        <f>VLOOKUP($D81,'2022Data to Complete Appendix C'!$C$8:$Q$313,11,FALSE)</f>
        <v>0.442</v>
      </c>
      <c r="P81" s="115">
        <f>VLOOKUP($D81,'2022Data to Complete Appendix C'!$C$8:$Q$313,12,FALSE)</f>
        <v>0.70704999999999996</v>
      </c>
      <c r="Q81" s="115">
        <f>VLOOKUP($D81,'2022Data to Complete Appendix C'!$C$8:$Q$313,13,FALSE)</f>
        <v>0.68899999999999995</v>
      </c>
      <c r="R81" s="114">
        <f>VLOOKUP($D81,'2022Data to Complete Appendix C'!$C$8:$Q$313,14,FALSE)</f>
        <v>2.7</v>
      </c>
      <c r="S81" s="115">
        <f>VLOOKUP($D81,'2022Data to Complete Appendix C'!$C$8:$Q$313,15,FALSE)</f>
        <v>1.51176E-2</v>
      </c>
      <c r="T81" s="12">
        <f>IFERROR(VLOOKUP($D81,'2022LodgingbyWUP'!$A$1:$D$98,4,FALSE),0)</f>
        <v>14</v>
      </c>
      <c r="U81" s="12">
        <f t="shared" si="1"/>
        <v>26.0442</v>
      </c>
      <c r="V81" s="12">
        <f>IFERROR(VLOOKUP($D81,Total_DU!$B$5:$Z$174,22,0),0)</f>
        <v>7026</v>
      </c>
      <c r="W81" s="12">
        <f>IFERROR(VLOOKUP($D81,Total_DU!$B$5:$Z$174,23,0),0)</f>
        <v>7554</v>
      </c>
      <c r="X81" s="12">
        <f>IFERROR(VLOOKUP($D81,Total_DU!$B$5:$Z$174,24,0),0)</f>
        <v>7706</v>
      </c>
      <c r="Y81" s="12">
        <f>IFERROR(VLOOKUP($D81,Total_DU!$B$5:$Z$174,25,0),0)</f>
        <v>7615</v>
      </c>
      <c r="Z81" s="12">
        <f>IFERROR(VLOOKUP($D81,Population!$B$5:$Y$174,21,FALSE),0)</f>
        <v>17179.773734617811</v>
      </c>
      <c r="AA81" s="12">
        <f>IFERROR(VLOOKUP($D81,Population!$B$5:$Y$174,22,FALSE),0)</f>
        <v>18470.983298595718</v>
      </c>
      <c r="AB81" s="12">
        <f>IFERROR(VLOOKUP($D81,Population!$B$5:$Y$174,23,FALSE),0)</f>
        <v>18849.389846981147</v>
      </c>
      <c r="AC81" s="12">
        <f>IFERROR(VLOOKUP($D81,Population!$B$5:$Y$174,24,FALSE),0)</f>
        <v>18620</v>
      </c>
    </row>
    <row r="82" spans="1:29" ht="15" x14ac:dyDescent="0.25">
      <c r="A82" s="11" t="s">
        <v>19</v>
      </c>
      <c r="B82" s="11" t="s">
        <v>720</v>
      </c>
      <c r="C82" s="11" t="s">
        <v>719</v>
      </c>
      <c r="D82" s="11">
        <v>13343</v>
      </c>
      <c r="E82" s="11">
        <v>2022</v>
      </c>
      <c r="F82" s="12">
        <f>VLOOKUP($D82,'2022Data to Complete Appendix C'!$C$8:$Q$313,2,FALSE)</f>
        <v>256134</v>
      </c>
      <c r="G82" s="12">
        <f>VLOOKUP($D82,'2022Data to Complete Appendix C'!$C$8:$Q$313,3,FALSE)</f>
        <v>109431</v>
      </c>
      <c r="H82" s="12">
        <f>VLOOKUP($D82,'2022Data to Complete Appendix C'!$C$8:$Q$313,4,FALSE)</f>
        <v>2387</v>
      </c>
      <c r="I82" s="12">
        <f>VLOOKUP($D82,'2022Data to Complete Appendix C'!$C$8:$Q$313,5,FALSE)</f>
        <v>138032</v>
      </c>
      <c r="J82" s="114">
        <f>VLOOKUP($D82,'2022Data to Complete Appendix C'!$C$8:$Q$313,6,FALSE)</f>
        <v>2.3405999999999998</v>
      </c>
      <c r="K82" s="114">
        <f>VLOOKUP($D82,'2022Data to Complete Appendix C'!$C$8:$Q$313,7,FALSE)</f>
        <v>1.95</v>
      </c>
      <c r="L82" s="114">
        <f>VLOOKUP($D82,'2022Data to Complete Appendix C'!$C$8:$Q$313,8,FALSE)</f>
        <v>1.08456</v>
      </c>
      <c r="M82" s="12">
        <f>VLOOKUP($D82,'2022Data to Complete Appendix C'!$C$8:$Q$313,9,FALSE)</f>
        <v>11107.3</v>
      </c>
      <c r="N82" s="114">
        <f>VLOOKUP($D82,'2022Data to Complete Appendix C'!$C$8:$Q$313,10,FALSE)</f>
        <v>9.2147300000000001E-2</v>
      </c>
      <c r="O82" s="115">
        <f>VLOOKUP($D82,'2022Data to Complete Appendix C'!$C$8:$Q$313,11,FALSE)</f>
        <v>0.442</v>
      </c>
      <c r="P82" s="115">
        <f>VLOOKUP($D82,'2022Data to Complete Appendix C'!$C$8:$Q$313,12,FALSE)</f>
        <v>0.70704999999999996</v>
      </c>
      <c r="Q82" s="115">
        <f>VLOOKUP($D82,'2022Data to Complete Appendix C'!$C$8:$Q$313,13,FALSE)</f>
        <v>0.68899999999999995</v>
      </c>
      <c r="R82" s="114">
        <f>VLOOKUP($D82,'2022Data to Complete Appendix C'!$C$8:$Q$313,14,FALSE)</f>
        <v>2.7</v>
      </c>
      <c r="S82" s="115">
        <f>VLOOKUP($D82,'2022Data to Complete Appendix C'!$C$8:$Q$313,15,FALSE)</f>
        <v>-0.23013800000000001</v>
      </c>
      <c r="T82" s="12">
        <f>IFERROR(VLOOKUP($D82,'2022LodgingbyWUP'!$A$1:$D$98,4,FALSE),0)</f>
        <v>7769</v>
      </c>
      <c r="U82" s="12">
        <f t="shared" si="1"/>
        <v>14452.670699999999</v>
      </c>
      <c r="V82" s="12">
        <f>IFERROR(VLOOKUP($D82,Total_DU!$B$5:$Z$174,22,0),0)</f>
        <v>152356</v>
      </c>
      <c r="W82" s="12">
        <f>IFERROR(VLOOKUP($D82,Total_DU!$B$5:$Z$174,23,0),0)</f>
        <v>156892</v>
      </c>
      <c r="X82" s="12">
        <f>IFERROR(VLOOKUP($D82,Total_DU!$B$5:$Z$174,24,0),0)</f>
        <v>161701</v>
      </c>
      <c r="Y82" s="12" t="str">
        <f>IFERROR(VLOOKUP($D82,Total_DU!$B$5:$Z$174,25,0),0)</f>
        <v>NA</v>
      </c>
      <c r="Z82" s="12">
        <f>IFERROR(VLOOKUP($D82,Population!$B$5:$Y$174,21,FALSE),0)</f>
        <v>358721.79193883674</v>
      </c>
      <c r="AA82" s="12">
        <f>IFERROR(VLOOKUP($D82,Population!$B$5:$Y$174,22,FALSE),0)</f>
        <v>368669.83162122563</v>
      </c>
      <c r="AB82" s="12">
        <f>IFERROR(VLOOKUP($D82,Population!$B$5:$Y$174,23,FALSE),0)</f>
        <v>378390</v>
      </c>
      <c r="AC82" s="12" t="str">
        <f>IFERROR(VLOOKUP($D82,Population!$B$5:$Y$174,24,FALSE),0)</f>
        <v>NA</v>
      </c>
    </row>
    <row r="83" spans="1:29" ht="15" x14ac:dyDescent="0.25">
      <c r="A83" s="2" t="s">
        <v>29</v>
      </c>
      <c r="B83" s="2" t="s">
        <v>718</v>
      </c>
      <c r="C83" s="2" t="s">
        <v>717</v>
      </c>
      <c r="D83" s="2">
        <v>1156</v>
      </c>
      <c r="E83" s="11">
        <v>2022</v>
      </c>
      <c r="F83" s="12">
        <f>VLOOKUP($D83,'2022Data to Complete Appendix C'!$C$8:$Q$313,2,FALSE)</f>
        <v>9254</v>
      </c>
      <c r="G83" s="12">
        <f>VLOOKUP($D83,'2022Data to Complete Appendix C'!$C$8:$Q$313,3,FALSE)</f>
        <v>5308</v>
      </c>
      <c r="H83" s="12">
        <f>VLOOKUP($D83,'2022Data to Complete Appendix C'!$C$8:$Q$313,4,FALSE)</f>
        <v>31</v>
      </c>
      <c r="I83" s="12">
        <f>VLOOKUP($D83,'2022Data to Complete Appendix C'!$C$8:$Q$313,5,FALSE)</f>
        <v>5998</v>
      </c>
      <c r="J83" s="114">
        <f>VLOOKUP($D83,'2022Data to Complete Appendix C'!$C$8:$Q$313,6,FALSE)</f>
        <v>1.7434099999999999</v>
      </c>
      <c r="K83" s="114">
        <f>VLOOKUP($D83,'2022Data to Complete Appendix C'!$C$8:$Q$313,7,FALSE)</f>
        <v>1.95</v>
      </c>
      <c r="L83" s="114">
        <f>VLOOKUP($D83,'2022Data to Complete Appendix C'!$C$8:$Q$313,8,FALSE)</f>
        <v>1.0255799999999999</v>
      </c>
      <c r="M83" s="12">
        <f>VLOOKUP($D83,'2022Data to Complete Appendix C'!$C$8:$Q$313,9,FALSE)</f>
        <v>121.393</v>
      </c>
      <c r="N83" s="114">
        <f>VLOOKUP($D83,'2022Data to Complete Appendix C'!$C$8:$Q$313,10,FALSE)</f>
        <v>2.2358599999999999E-2</v>
      </c>
      <c r="O83" s="115">
        <f>VLOOKUP($D83,'2022Data to Complete Appendix C'!$C$8:$Q$313,11,FALSE)</f>
        <v>0.56699999999999995</v>
      </c>
      <c r="P83" s="115">
        <f>VLOOKUP($D83,'2022Data to Complete Appendix C'!$C$8:$Q$313,12,FALSE)</f>
        <v>0.772675</v>
      </c>
      <c r="Q83" s="115">
        <f>VLOOKUP($D83,'2022Data to Complete Appendix C'!$C$8:$Q$313,13,FALSE)</f>
        <v>0.66500000000000004</v>
      </c>
      <c r="R83" s="114">
        <f>VLOOKUP($D83,'2022Data to Complete Appendix C'!$C$8:$Q$313,14,FALSE)</f>
        <v>2.2999999999999998</v>
      </c>
      <c r="S83" s="115">
        <f>VLOOKUP($D83,'2022Data to Complete Appendix C'!$C$8:$Q$313,15,FALSE)</f>
        <v>3.1753799999999999E-2</v>
      </c>
      <c r="T83" s="12">
        <f>IFERROR(VLOOKUP($D83,'2022LodgingbyWUP'!$A$1:$D$98,4,FALSE),0)</f>
        <v>127</v>
      </c>
      <c r="U83" s="12">
        <f t="shared" si="1"/>
        <v>194.24649999999997</v>
      </c>
      <c r="V83" s="12">
        <f>IFERROR(VLOOKUP($D83,Total_DU!$B$5:$Z$174,22,0),0)</f>
        <v>7382</v>
      </c>
      <c r="W83" s="12">
        <f>IFERROR(VLOOKUP($D83,Total_DU!$B$5:$Z$174,23,0),0)</f>
        <v>7919</v>
      </c>
      <c r="X83" s="12">
        <f>IFERROR(VLOOKUP($D83,Total_DU!$B$5:$Z$174,24,0),0)</f>
        <v>8514</v>
      </c>
      <c r="Y83" s="12">
        <f>IFERROR(VLOOKUP($D83,Total_DU!$B$5:$Z$174,25,0),0)</f>
        <v>9432</v>
      </c>
      <c r="Z83" s="12">
        <f>IFERROR(VLOOKUP($D83,Population!$B$5:$Y$174,21,FALSE),0)</f>
        <v>12931.228003378861</v>
      </c>
      <c r="AA83" s="12">
        <f>IFERROR(VLOOKUP($D83,Population!$B$5:$Y$174,22,FALSE),0)</f>
        <v>13884</v>
      </c>
      <c r="AB83" s="12">
        <f>IFERROR(VLOOKUP($D83,Population!$B$5:$Y$174,23,FALSE),0)</f>
        <v>14909.764922296936</v>
      </c>
      <c r="AC83" s="12">
        <f>IFERROR(VLOOKUP($D83,Population!$B$5:$Y$174,24,FALSE),0)</f>
        <v>16516</v>
      </c>
    </row>
    <row r="84" spans="1:29" ht="15" x14ac:dyDescent="0.25">
      <c r="A84" s="11" t="s">
        <v>29</v>
      </c>
      <c r="B84" s="11" t="s">
        <v>563</v>
      </c>
      <c r="C84" s="11" t="s">
        <v>11</v>
      </c>
      <c r="D84" s="11">
        <v>2999</v>
      </c>
      <c r="E84" s="11">
        <v>2022</v>
      </c>
      <c r="F84" s="12">
        <f>VLOOKUP($D84,'2022Data to Complete Appendix C'!$C$8:$Q$313,2,FALSE)</f>
        <v>1129</v>
      </c>
      <c r="G84" s="12">
        <f>VLOOKUP($D84,'2022Data to Complete Appendix C'!$C$8:$Q$313,3,FALSE)</f>
        <v>495</v>
      </c>
      <c r="H84" s="12">
        <f>VLOOKUP($D84,'2022Data to Complete Appendix C'!$C$8:$Q$313,4,FALSE)</f>
        <v>0</v>
      </c>
      <c r="I84" s="12">
        <f>VLOOKUP($D84,'2022Data to Complete Appendix C'!$C$8:$Q$313,5,FALSE)</f>
        <v>604</v>
      </c>
      <c r="J84" s="114">
        <f>VLOOKUP($D84,'2022Data to Complete Appendix C'!$C$8:$Q$313,6,FALSE)</f>
        <v>2.2808099999999998</v>
      </c>
      <c r="K84" s="114">
        <f>VLOOKUP($D84,'2022Data to Complete Appendix C'!$C$8:$Q$313,7,FALSE)</f>
        <v>1.95</v>
      </c>
      <c r="L84" s="114">
        <f>VLOOKUP($D84,'2022Data to Complete Appendix C'!$C$8:$Q$313,8,FALSE)</f>
        <v>1.01346</v>
      </c>
      <c r="M84" s="12">
        <f>VLOOKUP($D84,'2022Data to Complete Appendix C'!$C$8:$Q$313,9,FALSE)</f>
        <v>7.7935699999999999</v>
      </c>
      <c r="N84" s="114">
        <f>VLOOKUP($D84,'2022Data to Complete Appendix C'!$C$8:$Q$313,10,FALSE)</f>
        <v>1.55005E-2</v>
      </c>
      <c r="O84" s="115">
        <f>VLOOKUP($D84,'2022Data to Complete Appendix C'!$C$8:$Q$313,11,FALSE)</f>
        <v>0.56699999999999995</v>
      </c>
      <c r="P84" s="115">
        <f>VLOOKUP($D84,'2022Data to Complete Appendix C'!$C$8:$Q$313,12,FALSE)</f>
        <v>0.772675</v>
      </c>
      <c r="Q84" s="115">
        <f>VLOOKUP($D84,'2022Data to Complete Appendix C'!$C$8:$Q$313,13,FALSE)</f>
        <v>0.66500000000000004</v>
      </c>
      <c r="R84" s="114">
        <f>VLOOKUP($D84,'2022Data to Complete Appendix C'!$C$8:$Q$313,14,FALSE)</f>
        <v>2.2999999999999998</v>
      </c>
      <c r="S84" s="115">
        <f>VLOOKUP($D84,'2022Data to Complete Appendix C'!$C$8:$Q$313,15,FALSE)</f>
        <v>-0.41318199999999999</v>
      </c>
      <c r="T84" s="12">
        <f>IFERROR(VLOOKUP($D84,'2022LodgingbyWUP'!$A$1:$D$98,4,FALSE),0)</f>
        <v>0</v>
      </c>
      <c r="U84" s="12">
        <f t="shared" si="1"/>
        <v>0</v>
      </c>
      <c r="V84" s="12">
        <f>IFERROR(VLOOKUP($D84,Total_DU!$B$5:$Z$174,22,0),0)</f>
        <v>490</v>
      </c>
      <c r="W84" s="12">
        <f>IFERROR(VLOOKUP($D84,Total_DU!$B$5:$Z$174,23,0),0)</f>
        <v>496</v>
      </c>
      <c r="X84" s="12">
        <f>IFERROR(VLOOKUP($D84,Total_DU!$B$5:$Z$174,24,0),0)</f>
        <v>497</v>
      </c>
      <c r="Y84" s="12">
        <f>IFERROR(VLOOKUP($D84,Total_DU!$B$5:$Z$174,25,0),0)</f>
        <v>500</v>
      </c>
      <c r="Z84" s="12">
        <f>IFERROR(VLOOKUP($D84,Population!$B$5:$Y$174,21,FALSE),0)</f>
        <v>1111.7180372746875</v>
      </c>
      <c r="AA84" s="12">
        <f>IFERROR(VLOOKUP($D84,Population!$B$5:$Y$174,22,FALSE),0)</f>
        <v>1125.3307680564749</v>
      </c>
      <c r="AB84" s="12">
        <f>IFERROR(VLOOKUP($D84,Population!$B$5:$Y$174,23,FALSE),0)</f>
        <v>1127.5995888536936</v>
      </c>
      <c r="AC84" s="12">
        <f>IFERROR(VLOOKUP($D84,Population!$B$5:$Y$174,24,FALSE),0)</f>
        <v>1134</v>
      </c>
    </row>
    <row r="85" spans="1:29" ht="15" x14ac:dyDescent="0.25">
      <c r="A85" s="2" t="s">
        <v>29</v>
      </c>
      <c r="B85" s="2" t="s">
        <v>564</v>
      </c>
      <c r="C85" s="2" t="s">
        <v>482</v>
      </c>
      <c r="D85" s="2">
        <v>5643</v>
      </c>
      <c r="E85" s="11">
        <v>2022</v>
      </c>
      <c r="F85" s="12">
        <f>VLOOKUP($D85,'2022Data to Complete Appendix C'!$C$8:$Q$313,2,FALSE)</f>
        <v>1006</v>
      </c>
      <c r="G85" s="12">
        <f>VLOOKUP($D85,'2022Data to Complete Appendix C'!$C$8:$Q$313,3,FALSE)</f>
        <v>493</v>
      </c>
      <c r="H85" s="12">
        <f>VLOOKUP($D85,'2022Data to Complete Appendix C'!$C$8:$Q$313,4,FALSE)</f>
        <v>0</v>
      </c>
      <c r="I85" s="12">
        <f>VLOOKUP($D85,'2022Data to Complete Appendix C'!$C$8:$Q$313,5,FALSE)</f>
        <v>598</v>
      </c>
      <c r="J85" s="114">
        <f>VLOOKUP($D85,'2022Data to Complete Appendix C'!$C$8:$Q$313,6,FALSE)</f>
        <v>2.0405700000000002</v>
      </c>
      <c r="K85" s="114">
        <f>VLOOKUP($D85,'2022Data to Complete Appendix C'!$C$8:$Q$313,7,FALSE)</f>
        <v>1.95</v>
      </c>
      <c r="L85" s="114">
        <f>VLOOKUP($D85,'2022Data to Complete Appendix C'!$C$8:$Q$313,8,FALSE)</f>
        <v>1.05383</v>
      </c>
      <c r="M85" s="12">
        <f>VLOOKUP($D85,'2022Data to Complete Appendix C'!$C$8:$Q$313,9,FALSE)</f>
        <v>27.7697</v>
      </c>
      <c r="N85" s="114">
        <f>VLOOKUP($D85,'2022Data to Complete Appendix C'!$C$8:$Q$313,10,FALSE)</f>
        <v>5.3324400000000001E-2</v>
      </c>
      <c r="O85" s="115">
        <f>VLOOKUP($D85,'2022Data to Complete Appendix C'!$C$8:$Q$313,11,FALSE)</f>
        <v>0.56699999999999995</v>
      </c>
      <c r="P85" s="115">
        <f>VLOOKUP($D85,'2022Data to Complete Appendix C'!$C$8:$Q$313,12,FALSE)</f>
        <v>0.772675</v>
      </c>
      <c r="Q85" s="115">
        <f>VLOOKUP($D85,'2022Data to Complete Appendix C'!$C$8:$Q$313,13,FALSE)</f>
        <v>0.66500000000000004</v>
      </c>
      <c r="R85" s="114">
        <f>VLOOKUP($D85,'2022Data to Complete Appendix C'!$C$8:$Q$313,14,FALSE)</f>
        <v>2.2999999999999998</v>
      </c>
      <c r="S85" s="115">
        <f>VLOOKUP($D85,'2022Data to Complete Appendix C'!$C$8:$Q$313,15,FALSE)</f>
        <v>-0.54917400000000005</v>
      </c>
      <c r="T85" s="12">
        <f>IFERROR(VLOOKUP($D85,'2022LodgingbyWUP'!$A$1:$D$98,4,FALSE),0)</f>
        <v>0</v>
      </c>
      <c r="U85" s="12">
        <f t="shared" si="1"/>
        <v>0</v>
      </c>
      <c r="V85" s="12">
        <f>IFERROR(VLOOKUP($D85,Total_DU!$B$5:$Z$174,22,0),0)</f>
        <v>497</v>
      </c>
      <c r="W85" s="12">
        <f>IFERROR(VLOOKUP($D85,Total_DU!$B$5:$Z$174,23,0),0)</f>
        <v>497</v>
      </c>
      <c r="X85" s="12">
        <f>IFERROR(VLOOKUP($D85,Total_DU!$B$5:$Z$174,24,0),0)</f>
        <v>497</v>
      </c>
      <c r="Y85" s="12">
        <f>IFERROR(VLOOKUP($D85,Total_DU!$B$5:$Z$174,25,0),0)</f>
        <v>504</v>
      </c>
      <c r="Z85" s="12">
        <f>IFERROR(VLOOKUP($D85,Population!$B$5:$Y$174,21,FALSE),0)</f>
        <v>1000.0145523189676</v>
      </c>
      <c r="AA85" s="12">
        <f>IFERROR(VLOOKUP($D85,Population!$B$5:$Y$174,22,FALSE),0)</f>
        <v>1000.0144727213734</v>
      </c>
      <c r="AB85" s="12">
        <f>IFERROR(VLOOKUP($D85,Population!$B$5:$Y$174,23,FALSE),0)</f>
        <v>1000.0144819385646</v>
      </c>
      <c r="AC85" s="12">
        <f>IFERROR(VLOOKUP($D85,Population!$B$5:$Y$174,24,FALSE),0)</f>
        <v>1014</v>
      </c>
    </row>
    <row r="86" spans="1:29" ht="15" x14ac:dyDescent="0.25">
      <c r="A86" s="11" t="s">
        <v>29</v>
      </c>
      <c r="B86" s="11" t="s">
        <v>565</v>
      </c>
      <c r="C86" s="11" t="s">
        <v>106</v>
      </c>
      <c r="D86" s="11">
        <v>5731</v>
      </c>
      <c r="E86" s="11">
        <v>2022</v>
      </c>
      <c r="F86" s="12">
        <f>VLOOKUP($D86,'2022Data to Complete Appendix C'!$C$8:$Q$313,2,FALSE)</f>
        <v>466</v>
      </c>
      <c r="G86" s="12">
        <f>VLOOKUP($D86,'2022Data to Complete Appendix C'!$C$8:$Q$313,3,FALSE)</f>
        <v>284</v>
      </c>
      <c r="H86" s="12">
        <f>VLOOKUP($D86,'2022Data to Complete Appendix C'!$C$8:$Q$313,4,FALSE)</f>
        <v>0</v>
      </c>
      <c r="I86" s="12">
        <f>VLOOKUP($D86,'2022Data to Complete Appendix C'!$C$8:$Q$313,5,FALSE)</f>
        <v>332</v>
      </c>
      <c r="J86" s="114">
        <f>VLOOKUP($D86,'2022Data to Complete Appendix C'!$C$8:$Q$313,6,FALSE)</f>
        <v>1.6408499999999999</v>
      </c>
      <c r="K86" s="114">
        <f>VLOOKUP($D86,'2022Data to Complete Appendix C'!$C$8:$Q$313,7,FALSE)</f>
        <v>1.95</v>
      </c>
      <c r="L86" s="114">
        <f>VLOOKUP($D86,'2022Data to Complete Appendix C'!$C$8:$Q$313,8,FALSE)</f>
        <v>1.05383</v>
      </c>
      <c r="M86" s="12">
        <f>VLOOKUP($D86,'2022Data to Complete Appendix C'!$C$8:$Q$313,9,FALSE)</f>
        <v>12.8635</v>
      </c>
      <c r="N86" s="114">
        <f>VLOOKUP($D86,'2022Data to Complete Appendix C'!$C$8:$Q$313,10,FALSE)</f>
        <v>4.3331399999999999E-2</v>
      </c>
      <c r="O86" s="115">
        <f>VLOOKUP($D86,'2022Data to Complete Appendix C'!$C$8:$Q$313,11,FALSE)</f>
        <v>0.56699999999999995</v>
      </c>
      <c r="P86" s="115">
        <f>VLOOKUP($D86,'2022Data to Complete Appendix C'!$C$8:$Q$313,12,FALSE)</f>
        <v>0.772675</v>
      </c>
      <c r="Q86" s="115">
        <f>VLOOKUP($D86,'2022Data to Complete Appendix C'!$C$8:$Q$313,13,FALSE)</f>
        <v>0.66500000000000004</v>
      </c>
      <c r="R86" s="114">
        <f>VLOOKUP($D86,'2022Data to Complete Appendix C'!$C$8:$Q$313,14,FALSE)</f>
        <v>2.2999999999999998</v>
      </c>
      <c r="S86" s="115">
        <f>VLOOKUP($D86,'2022Data to Complete Appendix C'!$C$8:$Q$313,15,FALSE)</f>
        <v>0.90788999999999997</v>
      </c>
      <c r="T86" s="12">
        <f>IFERROR(VLOOKUP($D86,'2022LodgingbyWUP'!$A$1:$D$98,4,FALSE),0)</f>
        <v>0</v>
      </c>
      <c r="U86" s="12">
        <f t="shared" si="1"/>
        <v>0</v>
      </c>
      <c r="V86" s="12">
        <f>IFERROR(VLOOKUP($D86,Total_DU!$B$5:$Z$174,22,0),0)</f>
        <v>0</v>
      </c>
      <c r="W86" s="12">
        <f>IFERROR(VLOOKUP($D86,Total_DU!$B$5:$Z$174,23,0),0)</f>
        <v>0</v>
      </c>
      <c r="X86" s="12">
        <f>IFERROR(VLOOKUP($D86,Total_DU!$B$5:$Z$174,24,0),0)</f>
        <v>0</v>
      </c>
      <c r="Y86" s="12">
        <f>IFERROR(VLOOKUP($D86,Total_DU!$B$5:$Z$174,25,0),0)</f>
        <v>0</v>
      </c>
      <c r="Z86" s="12">
        <f>IFERROR(VLOOKUP($D86,Population!$B$5:$Y$174,21,FALSE),0)</f>
        <v>0</v>
      </c>
      <c r="AA86" s="12">
        <f>IFERROR(VLOOKUP($D86,Population!$B$5:$Y$174,22,FALSE),0)</f>
        <v>0</v>
      </c>
      <c r="AB86" s="12">
        <f>IFERROR(VLOOKUP($D86,Population!$B$5:$Y$174,23,FALSE),0)</f>
        <v>0</v>
      </c>
      <c r="AC86" s="12">
        <f>IFERROR(VLOOKUP($D86,Population!$B$5:$Y$174,24,FALSE),0)</f>
        <v>0</v>
      </c>
    </row>
    <row r="87" spans="1:29" ht="15" x14ac:dyDescent="0.25">
      <c r="A87" s="11" t="s">
        <v>29</v>
      </c>
      <c r="B87" s="11" t="s">
        <v>918</v>
      </c>
      <c r="C87" s="11" t="s">
        <v>917</v>
      </c>
      <c r="D87" s="11">
        <v>5746</v>
      </c>
      <c r="E87" s="11">
        <v>2022</v>
      </c>
      <c r="F87" s="12">
        <f>VLOOKUP($D87,'2022Data to Complete Appendix C'!$C$8:$Q$313,2,FALSE)</f>
        <v>189</v>
      </c>
      <c r="G87" s="12">
        <f>VLOOKUP($D87,'2022Data to Complete Appendix C'!$C$8:$Q$313,3,FALSE)</f>
        <v>54</v>
      </c>
      <c r="H87" s="12">
        <f>VLOOKUP($D87,'2022Data to Complete Appendix C'!$C$8:$Q$313,4,FALSE)</f>
        <v>0</v>
      </c>
      <c r="I87" s="12">
        <f>VLOOKUP($D87,'2022Data to Complete Appendix C'!$C$8:$Q$313,5,FALSE)</f>
        <v>70</v>
      </c>
      <c r="J87" s="114">
        <f>VLOOKUP($D87,'2022Data to Complete Appendix C'!$C$8:$Q$313,6,FALSE)</f>
        <v>3.5</v>
      </c>
      <c r="K87" s="114">
        <f>VLOOKUP($D87,'2022Data to Complete Appendix C'!$C$8:$Q$313,7,FALSE)</f>
        <v>1.95</v>
      </c>
      <c r="L87" s="114">
        <f>VLOOKUP($D87,'2022Data to Complete Appendix C'!$C$8:$Q$313,8,FALSE)</f>
        <v>1.01396</v>
      </c>
      <c r="M87" s="12">
        <f>VLOOKUP($D87,'2022Data to Complete Appendix C'!$C$8:$Q$313,9,FALSE)</f>
        <v>1.3534299999999999</v>
      </c>
      <c r="N87" s="114">
        <f>VLOOKUP($D87,'2022Data to Complete Appendix C'!$C$8:$Q$313,10,FALSE)</f>
        <v>2.4450800000000002E-2</v>
      </c>
      <c r="O87" s="115">
        <f>VLOOKUP($D87,'2022Data to Complete Appendix C'!$C$8:$Q$313,11,FALSE)</f>
        <v>0.56699999999999995</v>
      </c>
      <c r="P87" s="115">
        <f>VLOOKUP($D87,'2022Data to Complete Appendix C'!$C$8:$Q$313,12,FALSE)</f>
        <v>0.772675</v>
      </c>
      <c r="Q87" s="115">
        <f>VLOOKUP($D87,'2022Data to Complete Appendix C'!$C$8:$Q$313,13,FALSE)</f>
        <v>0.66500000000000004</v>
      </c>
      <c r="R87" s="114">
        <f>VLOOKUP($D87,'2022Data to Complete Appendix C'!$C$8:$Q$313,14,FALSE)</f>
        <v>2.2999999999999998</v>
      </c>
      <c r="S87" s="115">
        <f>VLOOKUP($D87,'2022Data to Complete Appendix C'!$C$8:$Q$313,15,FALSE)</f>
        <v>0.10650999999999999</v>
      </c>
      <c r="T87" s="12">
        <f>IFERROR(VLOOKUP($D87,'2022LodgingbyWUP'!$A$1:$D$98,4,FALSE),0)</f>
        <v>0</v>
      </c>
      <c r="U87" s="12">
        <f t="shared" ref="U87" si="2">IF(T87&gt;0,T87*Q87*R87,0)</f>
        <v>0</v>
      </c>
      <c r="V87" s="12">
        <f>IFERROR(VLOOKUP($D87,Total_DU!$B$5:$Z$174,22,0),0)</f>
        <v>0</v>
      </c>
      <c r="W87" s="12">
        <f>IFERROR(VLOOKUP($D87,Total_DU!$B$5:$Z$174,23,0),0)</f>
        <v>0</v>
      </c>
      <c r="X87" s="12">
        <f>IFERROR(VLOOKUP($D87,Total_DU!$B$5:$Z$174,24,0),0)</f>
        <v>0</v>
      </c>
      <c r="Y87" s="12">
        <f>IFERROR(VLOOKUP($D87,Total_DU!$B$5:$Z$174,25,0),0)</f>
        <v>0</v>
      </c>
      <c r="Z87" s="12">
        <f>IFERROR(VLOOKUP($D87,Population!$B$5:$Y$174,21,FALSE),0)</f>
        <v>0</v>
      </c>
      <c r="AA87" s="12">
        <f>IFERROR(VLOOKUP($D87,Population!$B$5:$Y$174,22,FALSE),0)</f>
        <v>0</v>
      </c>
      <c r="AB87" s="12">
        <f>IFERROR(VLOOKUP($D87,Population!$B$5:$Y$174,23,FALSE),0)</f>
        <v>0</v>
      </c>
      <c r="AC87" s="12">
        <f>IFERROR(VLOOKUP($D87,Population!$B$5:$Y$174,24,FALSE),0)</f>
        <v>0</v>
      </c>
    </row>
    <row r="88" spans="1:29" ht="15" x14ac:dyDescent="0.25">
      <c r="A88" s="2" t="s">
        <v>29</v>
      </c>
      <c r="B88" s="2" t="s">
        <v>566</v>
      </c>
      <c r="C88" s="2" t="s">
        <v>127</v>
      </c>
      <c r="D88" s="2">
        <v>6151</v>
      </c>
      <c r="E88" s="11">
        <v>2022</v>
      </c>
      <c r="F88" s="12">
        <f>VLOOKUP($D88,'2022Data to Complete Appendix C'!$C$8:$Q$313,2,FALSE)</f>
        <v>34571</v>
      </c>
      <c r="G88" s="12">
        <f>VLOOKUP($D88,'2022Data to Complete Appendix C'!$C$8:$Q$313,3,FALSE)</f>
        <v>15311</v>
      </c>
      <c r="H88" s="12">
        <f>VLOOKUP($D88,'2022Data to Complete Appendix C'!$C$8:$Q$313,4,FALSE)</f>
        <v>193</v>
      </c>
      <c r="I88" s="12">
        <f>VLOOKUP($D88,'2022Data to Complete Appendix C'!$C$8:$Q$313,5,FALSE)</f>
        <v>18110</v>
      </c>
      <c r="J88" s="114">
        <f>VLOOKUP($D88,'2022Data to Complete Appendix C'!$C$8:$Q$313,6,FALSE)</f>
        <v>2.2579199999999999</v>
      </c>
      <c r="K88" s="114">
        <f>VLOOKUP($D88,'2022Data to Complete Appendix C'!$C$8:$Q$313,7,FALSE)</f>
        <v>1.95</v>
      </c>
      <c r="L88" s="114">
        <f>VLOOKUP($D88,'2022Data to Complete Appendix C'!$C$8:$Q$313,8,FALSE)</f>
        <v>1.0138100000000001</v>
      </c>
      <c r="M88" s="12">
        <f>VLOOKUP($D88,'2022Data to Complete Appendix C'!$C$8:$Q$313,9,FALSE)</f>
        <v>244.869</v>
      </c>
      <c r="N88" s="114">
        <f>VLOOKUP($D88,'2022Data to Complete Appendix C'!$C$8:$Q$313,10,FALSE)</f>
        <v>1.57413E-2</v>
      </c>
      <c r="O88" s="115">
        <f>VLOOKUP($D88,'2022Data to Complete Appendix C'!$C$8:$Q$313,11,FALSE)</f>
        <v>0.56699999999999995</v>
      </c>
      <c r="P88" s="115">
        <f>VLOOKUP($D88,'2022Data to Complete Appendix C'!$C$8:$Q$313,12,FALSE)</f>
        <v>0.772675</v>
      </c>
      <c r="Q88" s="115">
        <f>VLOOKUP($D88,'2022Data to Complete Appendix C'!$C$8:$Q$313,13,FALSE)</f>
        <v>0.66500000000000004</v>
      </c>
      <c r="R88" s="114">
        <f>VLOOKUP($D88,'2022Data to Complete Appendix C'!$C$8:$Q$313,14,FALSE)</f>
        <v>2.2999999999999998</v>
      </c>
      <c r="S88" s="115">
        <f>VLOOKUP($D88,'2022Data to Complete Appendix C'!$C$8:$Q$313,15,FALSE)</f>
        <v>-0.48288599999999998</v>
      </c>
      <c r="T88" s="12">
        <f>IFERROR(VLOOKUP($D88,'2022LodgingbyWUP'!$A$1:$D$98,4,FALSE),0)</f>
        <v>255</v>
      </c>
      <c r="U88" s="12">
        <f t="shared" si="1"/>
        <v>390.02250000000004</v>
      </c>
      <c r="V88" s="12">
        <f>IFERROR(VLOOKUP($D88,Total_DU!$B$5:$Z$174,22,0),0)</f>
        <v>16246</v>
      </c>
      <c r="W88" s="12">
        <f>IFERROR(VLOOKUP($D88,Total_DU!$B$5:$Z$174,23,0),0)</f>
        <v>17622</v>
      </c>
      <c r="X88" s="12">
        <f>IFERROR(VLOOKUP($D88,Total_DU!$B$5:$Z$174,24,0),0)</f>
        <v>17926</v>
      </c>
      <c r="Y88" s="12">
        <f>IFERROR(VLOOKUP($D88,Total_DU!$B$5:$Z$174,25,0),0)</f>
        <v>18969</v>
      </c>
      <c r="Z88" s="12">
        <f>IFERROR(VLOOKUP($D88,Population!$B$5:$Y$174,21,FALSE),0)</f>
        <v>37061.631924625028</v>
      </c>
      <c r="AA88" s="12">
        <f>IFERROR(VLOOKUP($D88,Population!$B$5:$Y$174,22,FALSE),0)</f>
        <v>40146.500565650655</v>
      </c>
      <c r="AB88" s="12">
        <f>IFERROR(VLOOKUP($D88,Population!$B$5:$Y$174,23,FALSE),0)</f>
        <v>40830.531219645047</v>
      </c>
      <c r="AC88" s="12">
        <f>IFERROR(VLOOKUP($D88,Population!$B$5:$Y$174,24,FALSE),0)</f>
        <v>43070</v>
      </c>
    </row>
    <row r="89" spans="1:29" ht="15" x14ac:dyDescent="0.25">
      <c r="A89" s="11" t="s">
        <v>29</v>
      </c>
      <c r="B89" s="11" t="s">
        <v>567</v>
      </c>
      <c r="C89" s="11" t="s">
        <v>11</v>
      </c>
      <c r="D89" s="11">
        <v>6574</v>
      </c>
      <c r="E89" s="11">
        <v>2022</v>
      </c>
      <c r="F89" s="12">
        <f>VLOOKUP($D89,'2022Data to Complete Appendix C'!$C$8:$Q$313,2,FALSE)</f>
        <v>348</v>
      </c>
      <c r="G89" s="12">
        <f>VLOOKUP($D89,'2022Data to Complete Appendix C'!$C$8:$Q$313,3,FALSE)</f>
        <v>128</v>
      </c>
      <c r="H89" s="12">
        <f>VLOOKUP($D89,'2022Data to Complete Appendix C'!$C$8:$Q$313,4,FALSE)</f>
        <v>0</v>
      </c>
      <c r="I89" s="12">
        <f>VLOOKUP($D89,'2022Data to Complete Appendix C'!$C$8:$Q$313,5,FALSE)</f>
        <v>157</v>
      </c>
      <c r="J89" s="114">
        <f>VLOOKUP($D89,'2022Data to Complete Appendix C'!$C$8:$Q$313,6,FALSE)</f>
        <v>2.71875</v>
      </c>
      <c r="K89" s="114">
        <f>VLOOKUP($D89,'2022Data to Complete Appendix C'!$C$8:$Q$313,7,FALSE)</f>
        <v>1.95</v>
      </c>
      <c r="L89" s="114">
        <f>VLOOKUP($D89,'2022Data to Complete Appendix C'!$C$8:$Q$313,8,FALSE)</f>
        <v>1.01396</v>
      </c>
      <c r="M89" s="12">
        <f>VLOOKUP($D89,'2022Data to Complete Appendix C'!$C$8:$Q$313,9,FALSE)</f>
        <v>2.4920399999999998</v>
      </c>
      <c r="N89" s="114">
        <f>VLOOKUP($D89,'2022Data to Complete Appendix C'!$C$8:$Q$313,10,FALSE)</f>
        <v>1.9097200000000002E-2</v>
      </c>
      <c r="O89" s="115">
        <f>VLOOKUP($D89,'2022Data to Complete Appendix C'!$C$8:$Q$313,11,FALSE)</f>
        <v>0.56699999999999995</v>
      </c>
      <c r="P89" s="115">
        <f>VLOOKUP($D89,'2022Data to Complete Appendix C'!$C$8:$Q$313,12,FALSE)</f>
        <v>0.772675</v>
      </c>
      <c r="Q89" s="115">
        <f>VLOOKUP($D89,'2022Data to Complete Appendix C'!$C$8:$Q$313,13,FALSE)</f>
        <v>0.66500000000000004</v>
      </c>
      <c r="R89" s="114">
        <f>VLOOKUP($D89,'2022Data to Complete Appendix C'!$C$8:$Q$313,14,FALSE)</f>
        <v>2.2999999999999998</v>
      </c>
      <c r="S89" s="115">
        <f>VLOOKUP($D89,'2022Data to Complete Appendix C'!$C$8:$Q$313,15,FALSE)</f>
        <v>0.10650999999999999</v>
      </c>
      <c r="T89" s="12">
        <f>IFERROR(VLOOKUP($D89,'2022LodgingbyWUP'!$A$1:$D$98,4,FALSE),0)</f>
        <v>0</v>
      </c>
      <c r="U89" s="12">
        <f t="shared" si="1"/>
        <v>0</v>
      </c>
      <c r="V89" s="12">
        <f>IFERROR(VLOOKUP($D89,Total_DU!$B$5:$Z$174,22,0),0)</f>
        <v>0</v>
      </c>
      <c r="W89" s="12">
        <f>IFERROR(VLOOKUP($D89,Total_DU!$B$5:$Z$174,23,0),0)</f>
        <v>0</v>
      </c>
      <c r="X89" s="12">
        <f>IFERROR(VLOOKUP($D89,Total_DU!$B$5:$Z$174,24,0),0)</f>
        <v>0</v>
      </c>
      <c r="Y89" s="12">
        <f>IFERROR(VLOOKUP($D89,Total_DU!$B$5:$Z$174,25,0),0)</f>
        <v>0</v>
      </c>
      <c r="Z89" s="12">
        <f>IFERROR(VLOOKUP($D89,Population!$B$5:$Y$174,21,FALSE),0)</f>
        <v>0</v>
      </c>
      <c r="AA89" s="12">
        <f>IFERROR(VLOOKUP($D89,Population!$B$5:$Y$174,22,FALSE),0)</f>
        <v>0</v>
      </c>
      <c r="AB89" s="12">
        <f>IFERROR(VLOOKUP($D89,Population!$B$5:$Y$174,23,FALSE),0)</f>
        <v>0</v>
      </c>
      <c r="AC89" s="12">
        <f>IFERROR(VLOOKUP($D89,Population!$B$5:$Y$174,24,FALSE),0)</f>
        <v>0</v>
      </c>
    </row>
    <row r="90" spans="1:29" ht="15" x14ac:dyDescent="0.25">
      <c r="A90" s="2" t="s">
        <v>29</v>
      </c>
      <c r="B90" s="2" t="s">
        <v>568</v>
      </c>
      <c r="C90" s="2" t="s">
        <v>177</v>
      </c>
      <c r="D90" s="2">
        <v>6792</v>
      </c>
      <c r="E90" s="11">
        <v>2022</v>
      </c>
      <c r="F90" s="12">
        <f>VLOOKUP($D90,'2022Data to Complete Appendix C'!$C$8:$Q$313,2,FALSE)</f>
        <v>638</v>
      </c>
      <c r="G90" s="12">
        <f>VLOOKUP($D90,'2022Data to Complete Appendix C'!$C$8:$Q$313,3,FALSE)</f>
        <v>403</v>
      </c>
      <c r="H90" s="12">
        <f>VLOOKUP($D90,'2022Data to Complete Appendix C'!$C$8:$Q$313,4,FALSE)</f>
        <v>0</v>
      </c>
      <c r="I90" s="12">
        <f>VLOOKUP($D90,'2022Data to Complete Appendix C'!$C$8:$Q$313,5,FALSE)</f>
        <v>475</v>
      </c>
      <c r="J90" s="114">
        <f>VLOOKUP($D90,'2022Data to Complete Appendix C'!$C$8:$Q$313,6,FALSE)</f>
        <v>1.5831299999999999</v>
      </c>
      <c r="K90" s="114">
        <f>VLOOKUP($D90,'2022Data to Complete Appendix C'!$C$8:$Q$313,7,FALSE)</f>
        <v>1.95</v>
      </c>
      <c r="L90" s="114">
        <f>VLOOKUP($D90,'2022Data to Complete Appendix C'!$C$8:$Q$313,8,FALSE)</f>
        <v>1.01396</v>
      </c>
      <c r="M90" s="12">
        <f>VLOOKUP($D90,'2022Data to Complete Appendix C'!$C$8:$Q$313,9,FALSE)</f>
        <v>4.5687300000000004</v>
      </c>
      <c r="N90" s="114">
        <f>VLOOKUP($D90,'2022Data to Complete Appendix C'!$C$8:$Q$313,10,FALSE)</f>
        <v>1.12097E-2</v>
      </c>
      <c r="O90" s="115">
        <f>VLOOKUP($D90,'2022Data to Complete Appendix C'!$C$8:$Q$313,11,FALSE)</f>
        <v>0.56699999999999995</v>
      </c>
      <c r="P90" s="115">
        <f>VLOOKUP($D90,'2022Data to Complete Appendix C'!$C$8:$Q$313,12,FALSE)</f>
        <v>0.772675</v>
      </c>
      <c r="Q90" s="115">
        <f>VLOOKUP($D90,'2022Data to Complete Appendix C'!$C$8:$Q$313,13,FALSE)</f>
        <v>0.66500000000000004</v>
      </c>
      <c r="R90" s="114">
        <f>VLOOKUP($D90,'2022Data to Complete Appendix C'!$C$8:$Q$313,14,FALSE)</f>
        <v>2.2999999999999998</v>
      </c>
      <c r="S90" s="115">
        <f>VLOOKUP($D90,'2022Data to Complete Appendix C'!$C$8:$Q$313,15,FALSE)</f>
        <v>0.10650999999999999</v>
      </c>
      <c r="T90" s="12">
        <f>IFERROR(VLOOKUP($D90,'2022LodgingbyWUP'!$A$1:$D$98,4,FALSE),0)</f>
        <v>0</v>
      </c>
      <c r="U90" s="12">
        <f t="shared" si="1"/>
        <v>0</v>
      </c>
      <c r="V90" s="12">
        <f>IFERROR(VLOOKUP($D90,Total_DU!$B$5:$Z$174,22,0),0)</f>
        <v>376</v>
      </c>
      <c r="W90" s="12" t="str">
        <f>IFERROR(VLOOKUP($D90,Total_DU!$B$5:$Z$174,23,0),0)</f>
        <v>NA</v>
      </c>
      <c r="X90" s="12" t="str">
        <f>IFERROR(VLOOKUP($D90,Total_DU!$B$5:$Z$174,24,0),0)</f>
        <v>NA</v>
      </c>
      <c r="Y90" s="12" t="str">
        <f>IFERROR(VLOOKUP($D90,Total_DU!$B$5:$Z$174,25,0),0)</f>
        <v>NA</v>
      </c>
      <c r="Z90" s="12">
        <f>IFERROR(VLOOKUP($D90,Population!$B$5:$Y$174,21,FALSE),0)</f>
        <v>597.851294726481</v>
      </c>
      <c r="AA90" s="12" t="str">
        <f>IFERROR(VLOOKUP($D90,Population!$B$5:$Y$174,22,FALSE),0)</f>
        <v>NA</v>
      </c>
      <c r="AB90" s="12" t="str">
        <f>IFERROR(VLOOKUP($D90,Population!$B$5:$Y$174,23,FALSE),0)</f>
        <v>NA</v>
      </c>
      <c r="AC90" s="12" t="str">
        <f>IFERROR(VLOOKUP($D90,Population!$B$5:$Y$174,24,FALSE),0)</f>
        <v>NA</v>
      </c>
    </row>
    <row r="91" spans="1:29" ht="15" x14ac:dyDescent="0.25">
      <c r="A91" s="11" t="s">
        <v>29</v>
      </c>
      <c r="B91" s="11" t="s">
        <v>569</v>
      </c>
      <c r="C91" s="11" t="s">
        <v>11</v>
      </c>
      <c r="D91" s="11">
        <v>7849</v>
      </c>
      <c r="E91" s="11">
        <v>2022</v>
      </c>
      <c r="F91" s="12">
        <f>VLOOKUP($D91,'2022Data to Complete Appendix C'!$C$8:$Q$313,2,FALSE)</f>
        <v>1735</v>
      </c>
      <c r="G91" s="12">
        <f>VLOOKUP($D91,'2022Data to Complete Appendix C'!$C$8:$Q$313,3,FALSE)</f>
        <v>766</v>
      </c>
      <c r="H91" s="12">
        <f>VLOOKUP($D91,'2022Data to Complete Appendix C'!$C$8:$Q$313,4,FALSE)</f>
        <v>0</v>
      </c>
      <c r="I91" s="12">
        <f>VLOOKUP($D91,'2022Data to Complete Appendix C'!$C$8:$Q$313,5,FALSE)</f>
        <v>835</v>
      </c>
      <c r="J91" s="114">
        <f>VLOOKUP($D91,'2022Data to Complete Appendix C'!$C$8:$Q$313,6,FALSE)</f>
        <v>2.2650100000000002</v>
      </c>
      <c r="K91" s="114">
        <f>VLOOKUP($D91,'2022Data to Complete Appendix C'!$C$8:$Q$313,7,FALSE)</f>
        <v>1.95</v>
      </c>
      <c r="L91" s="114">
        <f>VLOOKUP($D91,'2022Data to Complete Appendix C'!$C$8:$Q$313,8,FALSE)</f>
        <v>1.00149</v>
      </c>
      <c r="M91" s="12">
        <f>VLOOKUP($D91,'2022Data to Complete Appendix C'!$C$8:$Q$313,9,FALSE)</f>
        <v>1.3212699999999999</v>
      </c>
      <c r="N91" s="114">
        <f>VLOOKUP($D91,'2022Data to Complete Appendix C'!$C$8:$Q$313,10,FALSE)</f>
        <v>1.72192E-3</v>
      </c>
      <c r="O91" s="115">
        <f>VLOOKUP($D91,'2022Data to Complete Appendix C'!$C$8:$Q$313,11,FALSE)</f>
        <v>0.56699999999999995</v>
      </c>
      <c r="P91" s="115">
        <f>VLOOKUP($D91,'2022Data to Complete Appendix C'!$C$8:$Q$313,12,FALSE)</f>
        <v>0.772675</v>
      </c>
      <c r="Q91" s="115">
        <f>VLOOKUP($D91,'2022Data to Complete Appendix C'!$C$8:$Q$313,13,FALSE)</f>
        <v>0.66500000000000004</v>
      </c>
      <c r="R91" s="114">
        <f>VLOOKUP($D91,'2022Data to Complete Appendix C'!$C$8:$Q$313,14,FALSE)</f>
        <v>2.2999999999999998</v>
      </c>
      <c r="S91" s="115">
        <f>VLOOKUP($D91,'2022Data to Complete Appendix C'!$C$8:$Q$313,15,FALSE)</f>
        <v>-0.28263700000000003</v>
      </c>
      <c r="T91" s="12">
        <f>IFERROR(VLOOKUP($D91,'2022LodgingbyWUP'!$A$1:$D$98,4,FALSE),0)</f>
        <v>0</v>
      </c>
      <c r="U91" s="12">
        <f t="shared" si="1"/>
        <v>0</v>
      </c>
      <c r="V91" s="12">
        <f>IFERROR(VLOOKUP($D91,Total_DU!$B$5:$Z$174,22,0),0)</f>
        <v>480</v>
      </c>
      <c r="W91" s="12">
        <f>IFERROR(VLOOKUP($D91,Total_DU!$B$5:$Z$174,23,0),0)</f>
        <v>475</v>
      </c>
      <c r="X91" s="12">
        <f>IFERROR(VLOOKUP($D91,Total_DU!$B$5:$Z$174,24,0),0)</f>
        <v>480</v>
      </c>
      <c r="Y91" s="12">
        <f>IFERROR(VLOOKUP($D91,Total_DU!$B$5:$Z$174,25,0),0)</f>
        <v>507</v>
      </c>
      <c r="Z91" s="12">
        <f>IFERROR(VLOOKUP($D91,Population!$B$5:$Y$174,21,FALSE),0)</f>
        <v>1086.575840832</v>
      </c>
      <c r="AA91" s="12">
        <f>IFERROR(VLOOKUP($D91,Population!$B$5:$Y$174,22,FALSE),0)</f>
        <v>1075.2574979647936</v>
      </c>
      <c r="AB91" s="12">
        <f>IFERROR(VLOOKUP($D91,Population!$B$5:$Y$174,23,FALSE),0)</f>
        <v>1086.5760031509164</v>
      </c>
      <c r="AC91" s="12">
        <f>IFERROR(VLOOKUP($D91,Population!$B$5:$Y$174,24,FALSE),0)</f>
        <v>1148</v>
      </c>
    </row>
    <row r="92" spans="1:29" ht="15" x14ac:dyDescent="0.25">
      <c r="A92" s="2" t="s">
        <v>29</v>
      </c>
      <c r="B92" s="2" t="s">
        <v>570</v>
      </c>
      <c r="C92" s="2" t="s">
        <v>47</v>
      </c>
      <c r="D92" s="2">
        <v>8005</v>
      </c>
      <c r="E92" s="11">
        <v>2022</v>
      </c>
      <c r="F92" s="12">
        <f>VLOOKUP($D92,'2022Data to Complete Appendix C'!$C$8:$Q$313,2,FALSE)</f>
        <v>730</v>
      </c>
      <c r="G92" s="12">
        <f>VLOOKUP($D92,'2022Data to Complete Appendix C'!$C$8:$Q$313,3,FALSE)</f>
        <v>444</v>
      </c>
      <c r="H92" s="12">
        <f>VLOOKUP($D92,'2022Data to Complete Appendix C'!$C$8:$Q$313,4,FALSE)</f>
        <v>0</v>
      </c>
      <c r="I92" s="12">
        <f>VLOOKUP($D92,'2022Data to Complete Appendix C'!$C$8:$Q$313,5,FALSE)</f>
        <v>513</v>
      </c>
      <c r="J92" s="114">
        <f>VLOOKUP($D92,'2022Data to Complete Appendix C'!$C$8:$Q$313,6,FALSE)</f>
        <v>1.6441399999999999</v>
      </c>
      <c r="K92" s="114">
        <f>VLOOKUP($D92,'2022Data to Complete Appendix C'!$C$8:$Q$313,7,FALSE)</f>
        <v>1.95</v>
      </c>
      <c r="L92" s="114">
        <f>VLOOKUP($D92,'2022Data to Complete Appendix C'!$C$8:$Q$313,8,FALSE)</f>
        <v>1.01396</v>
      </c>
      <c r="M92" s="12">
        <f>VLOOKUP($D92,'2022Data to Complete Appendix C'!$C$8:$Q$313,9,FALSE)</f>
        <v>5.2275499999999999</v>
      </c>
      <c r="N92" s="114">
        <f>VLOOKUP($D92,'2022Data to Complete Appendix C'!$C$8:$Q$313,10,FALSE)</f>
        <v>1.1636799999999999E-2</v>
      </c>
      <c r="O92" s="115">
        <f>VLOOKUP($D92,'2022Data to Complete Appendix C'!$C$8:$Q$313,11,FALSE)</f>
        <v>0.56699999999999995</v>
      </c>
      <c r="P92" s="115">
        <f>VLOOKUP($D92,'2022Data to Complete Appendix C'!$C$8:$Q$313,12,FALSE)</f>
        <v>0.772675</v>
      </c>
      <c r="Q92" s="115">
        <f>VLOOKUP($D92,'2022Data to Complete Appendix C'!$C$8:$Q$313,13,FALSE)</f>
        <v>0.66500000000000004</v>
      </c>
      <c r="R92" s="114">
        <f>VLOOKUP($D92,'2022Data to Complete Appendix C'!$C$8:$Q$313,14,FALSE)</f>
        <v>2.2999999999999998</v>
      </c>
      <c r="S92" s="115">
        <f>VLOOKUP($D92,'2022Data to Complete Appendix C'!$C$8:$Q$313,15,FALSE)</f>
        <v>0.10650999999999999</v>
      </c>
      <c r="T92" s="12">
        <f>IFERROR(VLOOKUP($D92,'2022LodgingbyWUP'!$A$1:$D$98,4,FALSE),0)</f>
        <v>0</v>
      </c>
      <c r="U92" s="12">
        <f t="shared" si="1"/>
        <v>0</v>
      </c>
      <c r="V92" s="12">
        <f>IFERROR(VLOOKUP($D92,Total_DU!$B$5:$Z$174,22,0),0)</f>
        <v>286</v>
      </c>
      <c r="W92" s="12" t="str">
        <f>IFERROR(VLOOKUP($D92,Total_DU!$B$5:$Z$174,23,0),0)</f>
        <v>NA</v>
      </c>
      <c r="X92" s="12" t="str">
        <f>IFERROR(VLOOKUP($D92,Total_DU!$B$5:$Z$174,24,0),0)</f>
        <v>NA</v>
      </c>
      <c r="Y92" s="12" t="str">
        <f>IFERROR(VLOOKUP($D92,Total_DU!$B$5:$Z$174,25,0),0)</f>
        <v>NA</v>
      </c>
      <c r="Z92" s="12">
        <f>IFERROR(VLOOKUP($D92,Population!$B$5:$Y$174,21,FALSE),0)</f>
        <v>557</v>
      </c>
      <c r="AA92" s="12" t="str">
        <f>IFERROR(VLOOKUP($D92,Population!$B$5:$Y$174,22,FALSE),0)</f>
        <v>NA</v>
      </c>
      <c r="AB92" s="12" t="str">
        <f>IFERROR(VLOOKUP($D92,Population!$B$5:$Y$174,23,FALSE),0)</f>
        <v>NA</v>
      </c>
      <c r="AC92" s="12" t="str">
        <f>IFERROR(VLOOKUP($D92,Population!$B$5:$Y$174,24,FALSE),0)</f>
        <v>NA</v>
      </c>
    </row>
    <row r="93" spans="1:29" ht="15" x14ac:dyDescent="0.25">
      <c r="A93" s="11" t="s">
        <v>29</v>
      </c>
      <c r="B93" s="11" t="s">
        <v>571</v>
      </c>
      <c r="C93" s="11" t="s">
        <v>128</v>
      </c>
      <c r="D93" s="11">
        <v>8020</v>
      </c>
      <c r="E93" s="11">
        <v>2022</v>
      </c>
      <c r="F93" s="12">
        <f>VLOOKUP($D93,'2022Data to Complete Appendix C'!$C$8:$Q$313,2,FALSE)</f>
        <v>1323</v>
      </c>
      <c r="G93" s="12">
        <f>VLOOKUP($D93,'2022Data to Complete Appendix C'!$C$8:$Q$313,3,FALSE)</f>
        <v>702</v>
      </c>
      <c r="H93" s="12">
        <f>VLOOKUP($D93,'2022Data to Complete Appendix C'!$C$8:$Q$313,4,FALSE)</f>
        <v>0</v>
      </c>
      <c r="I93" s="12">
        <f>VLOOKUP($D93,'2022Data to Complete Appendix C'!$C$8:$Q$313,5,FALSE)</f>
        <v>777</v>
      </c>
      <c r="J93" s="114">
        <f>VLOOKUP($D93,'2022Data to Complete Appendix C'!$C$8:$Q$313,6,FALSE)</f>
        <v>1.88462</v>
      </c>
      <c r="K93" s="114">
        <f>VLOOKUP($D93,'2022Data to Complete Appendix C'!$C$8:$Q$313,7,FALSE)</f>
        <v>1.95</v>
      </c>
      <c r="L93" s="114">
        <f>VLOOKUP($D93,'2022Data to Complete Appendix C'!$C$8:$Q$313,8,FALSE)</f>
        <v>1</v>
      </c>
      <c r="M93" s="12">
        <f>VLOOKUP($D93,'2022Data to Complete Appendix C'!$C$8:$Q$313,9,FALSE)</f>
        <v>0</v>
      </c>
      <c r="N93" s="114">
        <f>VLOOKUP($D93,'2022Data to Complete Appendix C'!$C$8:$Q$313,10,FALSE)</f>
        <v>0</v>
      </c>
      <c r="O93" s="115">
        <f>VLOOKUP($D93,'2022Data to Complete Appendix C'!$C$8:$Q$313,11,FALSE)</f>
        <v>0.56699999999999995</v>
      </c>
      <c r="P93" s="115">
        <f>VLOOKUP($D93,'2022Data to Complete Appendix C'!$C$8:$Q$313,12,FALSE)</f>
        <v>0.772675</v>
      </c>
      <c r="Q93" s="115">
        <f>VLOOKUP($D93,'2022Data to Complete Appendix C'!$C$8:$Q$313,13,FALSE)</f>
        <v>0.66500000000000004</v>
      </c>
      <c r="R93" s="114">
        <f>VLOOKUP($D93,'2022Data to Complete Appendix C'!$C$8:$Q$313,14,FALSE)</f>
        <v>2.2999999999999998</v>
      </c>
      <c r="S93" s="115">
        <f>VLOOKUP($D93,'2022Data to Complete Appendix C'!$C$8:$Q$313,15,FALSE)</f>
        <v>-0.30264799999999997</v>
      </c>
      <c r="T93" s="12">
        <f>IFERROR(VLOOKUP($D93,'2022LodgingbyWUP'!$A$1:$D$98,4,FALSE),0)</f>
        <v>0</v>
      </c>
      <c r="U93" s="12">
        <f t="shared" si="1"/>
        <v>0</v>
      </c>
      <c r="V93" s="12">
        <f>IFERROR(VLOOKUP($D93,Total_DU!$B$5:$Z$174,22,0),0)</f>
        <v>598</v>
      </c>
      <c r="W93" s="12">
        <f>IFERROR(VLOOKUP($D93,Total_DU!$B$5:$Z$174,23,0),0)</f>
        <v>598</v>
      </c>
      <c r="X93" s="12">
        <f>IFERROR(VLOOKUP($D93,Total_DU!$B$5:$Z$174,24,0),0)</f>
        <v>598</v>
      </c>
      <c r="Y93" s="12">
        <f>IFERROR(VLOOKUP($D93,Total_DU!$B$5:$Z$174,25,0),0)</f>
        <v>598</v>
      </c>
      <c r="Z93" s="12">
        <f>IFERROR(VLOOKUP($D93,Population!$B$5:$Y$174,21,FALSE),0)</f>
        <v>1127.0027600000001</v>
      </c>
      <c r="AA93" s="12">
        <f>IFERROR(VLOOKUP($D93,Population!$B$5:$Y$174,22,FALSE),0)</f>
        <v>1127.0027600000001</v>
      </c>
      <c r="AB93" s="12">
        <f>IFERROR(VLOOKUP($D93,Population!$B$5:$Y$174,23,FALSE),0)</f>
        <v>1127.002730846405</v>
      </c>
      <c r="AC93" s="12">
        <f>IFERROR(VLOOKUP($D93,Population!$B$5:$Y$174,24,FALSE),0)</f>
        <v>1127</v>
      </c>
    </row>
    <row r="94" spans="1:29" ht="15" x14ac:dyDescent="0.25">
      <c r="A94" s="2" t="s">
        <v>29</v>
      </c>
      <c r="B94" s="2" t="s">
        <v>572</v>
      </c>
      <c r="C94" s="2" t="s">
        <v>68</v>
      </c>
      <c r="D94" s="2">
        <v>8339</v>
      </c>
      <c r="E94" s="11">
        <v>2022</v>
      </c>
      <c r="F94" s="12">
        <f>VLOOKUP($D94,'2022Data to Complete Appendix C'!$C$8:$Q$313,2,FALSE)</f>
        <v>7467</v>
      </c>
      <c r="G94" s="12">
        <f>VLOOKUP($D94,'2022Data to Complete Appendix C'!$C$8:$Q$313,3,FALSE)</f>
        <v>3639</v>
      </c>
      <c r="H94" s="12">
        <f>VLOOKUP($D94,'2022Data to Complete Appendix C'!$C$8:$Q$313,4,FALSE)</f>
        <v>0</v>
      </c>
      <c r="I94" s="12">
        <f>VLOOKUP($D94,'2022Data to Complete Appendix C'!$C$8:$Q$313,5,FALSE)</f>
        <v>4563</v>
      </c>
      <c r="J94" s="114">
        <f>VLOOKUP($D94,'2022Data to Complete Appendix C'!$C$8:$Q$313,6,FALSE)</f>
        <v>2.0519400000000001</v>
      </c>
      <c r="K94" s="114">
        <f>VLOOKUP($D94,'2022Data to Complete Appendix C'!$C$8:$Q$313,7,FALSE)</f>
        <v>1.95</v>
      </c>
      <c r="L94" s="114">
        <f>VLOOKUP($D94,'2022Data to Complete Appendix C'!$C$8:$Q$313,8,FALSE)</f>
        <v>1.0341100000000001</v>
      </c>
      <c r="M94" s="12">
        <f>VLOOKUP($D94,'2022Data to Complete Appendix C'!$C$8:$Q$313,9,FALSE)</f>
        <v>130.62700000000001</v>
      </c>
      <c r="N94" s="114">
        <f>VLOOKUP($D94,'2022Data to Complete Appendix C'!$C$8:$Q$313,10,FALSE)</f>
        <v>3.46524E-2</v>
      </c>
      <c r="O94" s="115">
        <f>VLOOKUP($D94,'2022Data to Complete Appendix C'!$C$8:$Q$313,11,FALSE)</f>
        <v>0.56699999999999995</v>
      </c>
      <c r="P94" s="115">
        <f>VLOOKUP($D94,'2022Data to Complete Appendix C'!$C$8:$Q$313,12,FALSE)</f>
        <v>0.772675</v>
      </c>
      <c r="Q94" s="115">
        <f>VLOOKUP($D94,'2022Data to Complete Appendix C'!$C$8:$Q$313,13,FALSE)</f>
        <v>0.66500000000000004</v>
      </c>
      <c r="R94" s="114">
        <f>VLOOKUP($D94,'2022Data to Complete Appendix C'!$C$8:$Q$313,14,FALSE)</f>
        <v>2.2999999999999998</v>
      </c>
      <c r="S94" s="115">
        <f>VLOOKUP($D94,'2022Data to Complete Appendix C'!$C$8:$Q$313,15,FALSE)</f>
        <v>0.21192900000000001</v>
      </c>
      <c r="T94" s="12">
        <f>IFERROR(VLOOKUP($D94,'2022LodgingbyWUP'!$A$1:$D$98,4,FALSE),0)</f>
        <v>141</v>
      </c>
      <c r="U94" s="12">
        <f t="shared" si="1"/>
        <v>215.65949999999998</v>
      </c>
      <c r="V94" s="12">
        <f>IFERROR(VLOOKUP($D94,Total_DU!$B$5:$Z$174,22,0),0)</f>
        <v>2895</v>
      </c>
      <c r="W94" s="12">
        <f>IFERROR(VLOOKUP($D94,Total_DU!$B$5:$Z$174,23,0),0)</f>
        <v>2949</v>
      </c>
      <c r="X94" s="12">
        <f>IFERROR(VLOOKUP($D94,Total_DU!$B$5:$Z$174,24,0),0)</f>
        <v>2817</v>
      </c>
      <c r="Y94" s="12">
        <f>IFERROR(VLOOKUP($D94,Total_DU!$B$5:$Z$174,25,0),0)</f>
        <v>3152</v>
      </c>
      <c r="Z94" s="12">
        <f>IFERROR(VLOOKUP($D94,Population!$B$5:$Y$174,21,FALSE),0)</f>
        <v>6253.6328270615504</v>
      </c>
      <c r="AA94" s="12">
        <f>IFERROR(VLOOKUP($D94,Population!$B$5:$Y$174,22,FALSE),0)</f>
        <v>6354.766861420806</v>
      </c>
      <c r="AB94" s="12">
        <f>IFERROR(VLOOKUP($D94,Population!$B$5:$Y$174,23,FALSE),0)</f>
        <v>6083.2020044806941</v>
      </c>
      <c r="AC94" s="12">
        <f>IFERROR(VLOOKUP($D94,Population!$B$5:$Y$174,24,FALSE),0)</f>
        <v>6704</v>
      </c>
    </row>
    <row r="95" spans="1:29" ht="15" x14ac:dyDescent="0.25">
      <c r="A95" s="11" t="s">
        <v>29</v>
      </c>
      <c r="B95" s="11" t="s">
        <v>573</v>
      </c>
      <c r="C95" s="11" t="s">
        <v>11</v>
      </c>
      <c r="D95" s="11">
        <v>8481</v>
      </c>
      <c r="E95" s="11">
        <v>2022</v>
      </c>
      <c r="F95" s="12">
        <f>VLOOKUP($D95,'2022Data to Complete Appendix C'!$C$8:$Q$313,2,FALSE)</f>
        <v>7225</v>
      </c>
      <c r="G95" s="12">
        <f>VLOOKUP($D95,'2022Data to Complete Appendix C'!$C$8:$Q$313,3,FALSE)</f>
        <v>2822</v>
      </c>
      <c r="H95" s="12">
        <f>VLOOKUP($D95,'2022Data to Complete Appendix C'!$C$8:$Q$313,4,FALSE)</f>
        <v>0</v>
      </c>
      <c r="I95" s="12">
        <f>VLOOKUP($D95,'2022Data to Complete Appendix C'!$C$8:$Q$313,5,FALSE)</f>
        <v>3202</v>
      </c>
      <c r="J95" s="114">
        <f>VLOOKUP($D95,'2022Data to Complete Appendix C'!$C$8:$Q$313,6,FALSE)</f>
        <v>2.5602399999999998</v>
      </c>
      <c r="K95" s="114">
        <f>VLOOKUP($D95,'2022Data to Complete Appendix C'!$C$8:$Q$313,7,FALSE)</f>
        <v>1.95</v>
      </c>
      <c r="L95" s="114">
        <f>VLOOKUP($D95,'2022Data to Complete Appendix C'!$C$8:$Q$313,8,FALSE)</f>
        <v>1</v>
      </c>
      <c r="M95" s="12">
        <f>VLOOKUP($D95,'2022Data to Complete Appendix C'!$C$8:$Q$313,9,FALSE)</f>
        <v>0</v>
      </c>
      <c r="N95" s="114">
        <f>VLOOKUP($D95,'2022Data to Complete Appendix C'!$C$8:$Q$313,10,FALSE)</f>
        <v>0</v>
      </c>
      <c r="O95" s="115">
        <f>VLOOKUP($D95,'2022Data to Complete Appendix C'!$C$8:$Q$313,11,FALSE)</f>
        <v>0.56699999999999995</v>
      </c>
      <c r="P95" s="115">
        <f>VLOOKUP($D95,'2022Data to Complete Appendix C'!$C$8:$Q$313,12,FALSE)</f>
        <v>0.772675</v>
      </c>
      <c r="Q95" s="115">
        <f>VLOOKUP($D95,'2022Data to Complete Appendix C'!$C$8:$Q$313,13,FALSE)</f>
        <v>0.66500000000000004</v>
      </c>
      <c r="R95" s="114">
        <f>VLOOKUP($D95,'2022Data to Complete Appendix C'!$C$8:$Q$313,14,FALSE)</f>
        <v>2.2999999999999998</v>
      </c>
      <c r="S95" s="115">
        <f>VLOOKUP($D95,'2022Data to Complete Appendix C'!$C$8:$Q$313,15,FALSE)</f>
        <v>-0.360041</v>
      </c>
      <c r="T95" s="12">
        <f>IFERROR(VLOOKUP($D95,'2022LodgingbyWUP'!$A$1:$D$98,4,FALSE),0)</f>
        <v>1</v>
      </c>
      <c r="U95" s="12">
        <f t="shared" si="1"/>
        <v>1.5294999999999999</v>
      </c>
      <c r="V95" s="12">
        <f>IFERROR(VLOOKUP($D95,Total_DU!$B$5:$Z$174,22,0),0)</f>
        <v>2462</v>
      </c>
      <c r="W95" s="12">
        <f>IFERROR(VLOOKUP($D95,Total_DU!$B$5:$Z$174,23,0),0)</f>
        <v>2578</v>
      </c>
      <c r="X95" s="12">
        <f>IFERROR(VLOOKUP($D95,Total_DU!$B$5:$Z$174,24,0),0)</f>
        <v>2764</v>
      </c>
      <c r="Y95" s="12">
        <f>IFERROR(VLOOKUP($D95,Total_DU!$B$5:$Z$174,25,0),0)</f>
        <v>2912</v>
      </c>
      <c r="Z95" s="12">
        <f>IFERROR(VLOOKUP($D95,Population!$B$5:$Y$174,21,FALSE),0)</f>
        <v>6303.31088</v>
      </c>
      <c r="AA95" s="12">
        <f>IFERROR(VLOOKUP($D95,Population!$B$5:$Y$174,22,FALSE),0)</f>
        <v>6600.2987199999998</v>
      </c>
      <c r="AB95" s="12">
        <f>IFERROR(VLOOKUP($D95,Population!$B$5:$Y$174,23,FALSE),0)</f>
        <v>7076.5034437179565</v>
      </c>
      <c r="AC95" s="12">
        <f>IFERROR(VLOOKUP($D95,Population!$B$5:$Y$174,24,FALSE),0)</f>
        <v>7455</v>
      </c>
    </row>
    <row r="96" spans="1:29" ht="15" x14ac:dyDescent="0.25">
      <c r="A96" s="11" t="s">
        <v>29</v>
      </c>
      <c r="B96" s="11" t="s">
        <v>574</v>
      </c>
      <c r="C96" s="11" t="s">
        <v>159</v>
      </c>
      <c r="D96" s="11">
        <v>9425</v>
      </c>
      <c r="E96" s="11">
        <v>2022</v>
      </c>
      <c r="F96" s="12">
        <f>VLOOKUP($D96,'2022Data to Complete Appendix C'!$C$8:$Q$313,2,FALSE)</f>
        <v>285</v>
      </c>
      <c r="G96" s="12">
        <f>VLOOKUP($D96,'2022Data to Complete Appendix C'!$C$8:$Q$313,3,FALSE)</f>
        <v>158</v>
      </c>
      <c r="H96" s="12">
        <f>VLOOKUP($D96,'2022Data to Complete Appendix C'!$C$8:$Q$313,4,FALSE)</f>
        <v>0</v>
      </c>
      <c r="I96" s="12">
        <f>VLOOKUP($D96,'2022Data to Complete Appendix C'!$C$8:$Q$313,5,FALSE)</f>
        <v>197</v>
      </c>
      <c r="J96" s="114">
        <f>VLOOKUP($D96,'2022Data to Complete Appendix C'!$C$8:$Q$313,6,FALSE)</f>
        <v>1.8038000000000001</v>
      </c>
      <c r="K96" s="114">
        <f>VLOOKUP($D96,'2022Data to Complete Appendix C'!$C$8:$Q$313,7,FALSE)</f>
        <v>1.95</v>
      </c>
      <c r="L96" s="114">
        <f>VLOOKUP($D96,'2022Data to Complete Appendix C'!$C$8:$Q$313,8,FALSE)</f>
        <v>1.05383</v>
      </c>
      <c r="M96" s="12">
        <f>VLOOKUP($D96,'2022Data to Complete Appendix C'!$C$8:$Q$313,9,FALSE)</f>
        <v>7.8671699999999998</v>
      </c>
      <c r="N96" s="114">
        <f>VLOOKUP($D96,'2022Data to Complete Appendix C'!$C$8:$Q$313,10,FALSE)</f>
        <v>4.74305E-2</v>
      </c>
      <c r="O96" s="115">
        <f>VLOOKUP($D96,'2022Data to Complete Appendix C'!$C$8:$Q$313,11,FALSE)</f>
        <v>0.56699999999999995</v>
      </c>
      <c r="P96" s="115">
        <f>VLOOKUP($D96,'2022Data to Complete Appendix C'!$C$8:$Q$313,12,FALSE)</f>
        <v>0.772675</v>
      </c>
      <c r="Q96" s="115">
        <f>VLOOKUP($D96,'2022Data to Complete Appendix C'!$C$8:$Q$313,13,FALSE)</f>
        <v>0.66500000000000004</v>
      </c>
      <c r="R96" s="114">
        <f>VLOOKUP($D96,'2022Data to Complete Appendix C'!$C$8:$Q$313,14,FALSE)</f>
        <v>2.2999999999999998</v>
      </c>
      <c r="S96" s="115">
        <f>VLOOKUP($D96,'2022Data to Complete Appendix C'!$C$8:$Q$313,15,FALSE)</f>
        <v>-0.49909300000000001</v>
      </c>
      <c r="T96" s="12">
        <f>IFERROR(VLOOKUP($D96,'2022LodgingbyWUP'!$A$1:$D$98,4,FALSE),0)</f>
        <v>0</v>
      </c>
      <c r="U96" s="12">
        <f t="shared" si="1"/>
        <v>0</v>
      </c>
      <c r="V96" s="12">
        <f>IFERROR(VLOOKUP($D96,Total_DU!$B$5:$Z$174,22,0),0)</f>
        <v>0</v>
      </c>
      <c r="W96" s="12">
        <f>IFERROR(VLOOKUP($D96,Total_DU!$B$5:$Z$174,23,0),0)</f>
        <v>0</v>
      </c>
      <c r="X96" s="12">
        <f>IFERROR(VLOOKUP($D96,Total_DU!$B$5:$Z$174,24,0),0)</f>
        <v>0</v>
      </c>
      <c r="Y96" s="12">
        <f>IFERROR(VLOOKUP($D96,Total_DU!$B$5:$Z$174,25,0),0)</f>
        <v>0</v>
      </c>
      <c r="Z96" s="12">
        <f>IFERROR(VLOOKUP($D96,Population!$B$5:$Y$174,21,FALSE),0)</f>
        <v>0</v>
      </c>
      <c r="AA96" s="12">
        <f>IFERROR(VLOOKUP($D96,Population!$B$5:$Y$174,22,FALSE),0)</f>
        <v>0</v>
      </c>
      <c r="AB96" s="12">
        <f>IFERROR(VLOOKUP($D96,Population!$B$5:$Y$174,23,FALSE),0)</f>
        <v>0</v>
      </c>
      <c r="AC96" s="12">
        <f>IFERROR(VLOOKUP($D96,Population!$B$5:$Y$174,24,FALSE),0)</f>
        <v>0</v>
      </c>
    </row>
    <row r="97" spans="1:29" ht="15" x14ac:dyDescent="0.25">
      <c r="A97" s="2" t="s">
        <v>29</v>
      </c>
      <c r="B97" s="2" t="s">
        <v>575</v>
      </c>
      <c r="C97" s="2" t="s">
        <v>153</v>
      </c>
      <c r="D97" s="2">
        <v>10966</v>
      </c>
      <c r="E97" s="11">
        <v>2022</v>
      </c>
      <c r="F97" s="12">
        <f>VLOOKUP($D97,'2022Data to Complete Appendix C'!$C$8:$Q$313,2,FALSE)</f>
        <v>524</v>
      </c>
      <c r="G97" s="12">
        <f>VLOOKUP($D97,'2022Data to Complete Appendix C'!$C$8:$Q$313,3,FALSE)</f>
        <v>224</v>
      </c>
      <c r="H97" s="12">
        <f>VLOOKUP($D97,'2022Data to Complete Appendix C'!$C$8:$Q$313,4,FALSE)</f>
        <v>0</v>
      </c>
      <c r="I97" s="12">
        <f>VLOOKUP($D97,'2022Data to Complete Appendix C'!$C$8:$Q$313,5,FALSE)</f>
        <v>289</v>
      </c>
      <c r="J97" s="114">
        <f>VLOOKUP($D97,'2022Data to Complete Appendix C'!$C$8:$Q$313,6,FALSE)</f>
        <v>2.3392900000000001</v>
      </c>
      <c r="K97" s="114">
        <f>VLOOKUP($D97,'2022Data to Complete Appendix C'!$C$8:$Q$313,7,FALSE)</f>
        <v>1.95</v>
      </c>
      <c r="L97" s="114">
        <f>VLOOKUP($D97,'2022Data to Complete Appendix C'!$C$8:$Q$313,8,FALSE)</f>
        <v>1.0471600000000001</v>
      </c>
      <c r="M97" s="12">
        <f>VLOOKUP($D97,'2022Data to Complete Appendix C'!$C$8:$Q$313,9,FALSE)</f>
        <v>12.671900000000001</v>
      </c>
      <c r="N97" s="114">
        <f>VLOOKUP($D97,'2022Data to Complete Appendix C'!$C$8:$Q$313,10,FALSE)</f>
        <v>5.3542199999999998E-2</v>
      </c>
      <c r="O97" s="115">
        <f>VLOOKUP($D97,'2022Data to Complete Appendix C'!$C$8:$Q$313,11,FALSE)</f>
        <v>0.56699999999999995</v>
      </c>
      <c r="P97" s="115">
        <f>VLOOKUP($D97,'2022Data to Complete Appendix C'!$C$8:$Q$313,12,FALSE)</f>
        <v>0.772675</v>
      </c>
      <c r="Q97" s="115">
        <f>VLOOKUP($D97,'2022Data to Complete Appendix C'!$C$8:$Q$313,13,FALSE)</f>
        <v>0.66500000000000004</v>
      </c>
      <c r="R97" s="114">
        <f>VLOOKUP($D97,'2022Data to Complete Appendix C'!$C$8:$Q$313,14,FALSE)</f>
        <v>2.2999999999999998</v>
      </c>
      <c r="S97" s="115">
        <f>VLOOKUP($D97,'2022Data to Complete Appendix C'!$C$8:$Q$313,15,FALSE)</f>
        <v>0</v>
      </c>
      <c r="T97" s="12">
        <f>IFERROR(VLOOKUP($D97,'2022LodgingbyWUP'!$A$1:$D$98,4,FALSE),0)</f>
        <v>0</v>
      </c>
      <c r="U97" s="12">
        <f t="shared" si="1"/>
        <v>0</v>
      </c>
      <c r="V97" s="12">
        <f>IFERROR(VLOOKUP($D97,Total_DU!$B$5:$Z$174,22,0),0)</f>
        <v>0</v>
      </c>
      <c r="W97" s="12">
        <f>IFERROR(VLOOKUP($D97,Total_DU!$B$5:$Z$174,23,0),0)</f>
        <v>0</v>
      </c>
      <c r="X97" s="12">
        <f>IFERROR(VLOOKUP($D97,Total_DU!$B$5:$Z$174,24,0),0)</f>
        <v>0</v>
      </c>
      <c r="Y97" s="12">
        <f>IFERROR(VLOOKUP($D97,Total_DU!$B$5:$Z$174,25,0),0)</f>
        <v>0</v>
      </c>
      <c r="Z97" s="12">
        <f>IFERROR(VLOOKUP($D97,Population!$B$5:$Y$174,21,FALSE),0)</f>
        <v>0</v>
      </c>
      <c r="AA97" s="12">
        <f>IFERROR(VLOOKUP($D97,Population!$B$5:$Y$174,22,FALSE),0)</f>
        <v>0</v>
      </c>
      <c r="AB97" s="12">
        <f>IFERROR(VLOOKUP($D97,Population!$B$5:$Y$174,23,FALSE),0)</f>
        <v>0</v>
      </c>
      <c r="AC97" s="12">
        <f>IFERROR(VLOOKUP($D97,Population!$B$5:$Y$174,24,FALSE),0)</f>
        <v>0</v>
      </c>
    </row>
    <row r="98" spans="1:29" ht="15" x14ac:dyDescent="0.25">
      <c r="A98" s="11" t="s">
        <v>29</v>
      </c>
      <c r="B98" s="11" t="s">
        <v>576</v>
      </c>
      <c r="C98" s="11" t="s">
        <v>150</v>
      </c>
      <c r="D98" s="11">
        <v>20098</v>
      </c>
      <c r="E98" s="11">
        <v>2022</v>
      </c>
      <c r="F98" s="12">
        <f>VLOOKUP($D98,'2022Data to Complete Appendix C'!$C$8:$Q$313,2,FALSE)</f>
        <v>84</v>
      </c>
      <c r="G98" s="12">
        <f>VLOOKUP($D98,'2022Data to Complete Appendix C'!$C$8:$Q$313,3,FALSE)</f>
        <v>37</v>
      </c>
      <c r="H98" s="12">
        <f>VLOOKUP($D98,'2022Data to Complete Appendix C'!$C$8:$Q$313,4,FALSE)</f>
        <v>0</v>
      </c>
      <c r="I98" s="12">
        <f>VLOOKUP($D98,'2022Data to Complete Appendix C'!$C$8:$Q$313,5,FALSE)</f>
        <v>45</v>
      </c>
      <c r="J98" s="114">
        <f>VLOOKUP($D98,'2022Data to Complete Appendix C'!$C$8:$Q$313,6,FALSE)</f>
        <v>2.27027</v>
      </c>
      <c r="K98" s="114">
        <f>VLOOKUP($D98,'2022Data to Complete Appendix C'!$C$8:$Q$313,7,FALSE)</f>
        <v>1.95</v>
      </c>
      <c r="L98" s="114">
        <f>VLOOKUP($D98,'2022Data to Complete Appendix C'!$C$8:$Q$313,8,FALSE)</f>
        <v>1.0341100000000001</v>
      </c>
      <c r="M98" s="12">
        <f>VLOOKUP($D98,'2022Data to Complete Appendix C'!$C$8:$Q$313,9,FALSE)</f>
        <v>1.4694799999999999</v>
      </c>
      <c r="N98" s="114">
        <f>VLOOKUP($D98,'2022Data to Complete Appendix C'!$C$8:$Q$313,10,FALSE)</f>
        <v>3.8198700000000002E-2</v>
      </c>
      <c r="O98" s="115">
        <f>VLOOKUP($D98,'2022Data to Complete Appendix C'!$C$8:$Q$313,11,FALSE)</f>
        <v>0.56699999999999995</v>
      </c>
      <c r="P98" s="115">
        <f>VLOOKUP($D98,'2022Data to Complete Appendix C'!$C$8:$Q$313,12,FALSE)</f>
        <v>0.772675</v>
      </c>
      <c r="Q98" s="115">
        <f>VLOOKUP($D98,'2022Data to Complete Appendix C'!$C$8:$Q$313,13,FALSE)</f>
        <v>0.66500000000000004</v>
      </c>
      <c r="R98" s="114">
        <f>VLOOKUP($D98,'2022Data to Complete Appendix C'!$C$8:$Q$313,14,FALSE)</f>
        <v>2.2999999999999998</v>
      </c>
      <c r="S98" s="115">
        <f>VLOOKUP($D98,'2022Data to Complete Appendix C'!$C$8:$Q$313,15,FALSE)</f>
        <v>0.21192900000000001</v>
      </c>
      <c r="T98" s="12">
        <f>IFERROR(VLOOKUP($D98,'2022LodgingbyWUP'!$A$1:$D$98,4,FALSE),0)</f>
        <v>0</v>
      </c>
      <c r="U98" s="12">
        <f t="shared" si="1"/>
        <v>0</v>
      </c>
      <c r="V98" s="12">
        <f>IFERROR(VLOOKUP($D98,Total_DU!$B$5:$Z$174,22,0),0)</f>
        <v>0</v>
      </c>
      <c r="W98" s="12">
        <f>IFERROR(VLOOKUP($D98,Total_DU!$B$5:$Z$174,23,0),0)</f>
        <v>0</v>
      </c>
      <c r="X98" s="12">
        <f>IFERROR(VLOOKUP($D98,Total_DU!$B$5:$Z$174,24,0),0)</f>
        <v>0</v>
      </c>
      <c r="Y98" s="12">
        <f>IFERROR(VLOOKUP($D98,Total_DU!$B$5:$Z$174,25,0),0)</f>
        <v>0</v>
      </c>
      <c r="Z98" s="12">
        <f>IFERROR(VLOOKUP($D98,Population!$B$5:$Y$174,21,FALSE),0)</f>
        <v>0</v>
      </c>
      <c r="AA98" s="12">
        <f>IFERROR(VLOOKUP($D98,Population!$B$5:$Y$174,22,FALSE),0)</f>
        <v>0</v>
      </c>
      <c r="AB98" s="12">
        <f>IFERROR(VLOOKUP($D98,Population!$B$5:$Y$174,23,FALSE),0)</f>
        <v>0</v>
      </c>
      <c r="AC98" s="12">
        <f>IFERROR(VLOOKUP($D98,Population!$B$5:$Y$174,24,FALSE),0)</f>
        <v>0</v>
      </c>
    </row>
    <row r="99" spans="1:29" ht="15" x14ac:dyDescent="0.25">
      <c r="A99" s="2" t="s">
        <v>29</v>
      </c>
      <c r="B99" s="2" t="s">
        <v>577</v>
      </c>
      <c r="C99" s="2" t="s">
        <v>68</v>
      </c>
      <c r="D99" s="2">
        <v>20213</v>
      </c>
      <c r="E99" s="11">
        <v>2022</v>
      </c>
      <c r="F99" s="12">
        <f>VLOOKUP($D99,'2022Data to Complete Appendix C'!$C$8:$Q$313,2,FALSE)</f>
        <v>242</v>
      </c>
      <c r="G99" s="12">
        <f>VLOOKUP($D99,'2022Data to Complete Appendix C'!$C$8:$Q$313,3,FALSE)</f>
        <v>111</v>
      </c>
      <c r="H99" s="12">
        <f>VLOOKUP($D99,'2022Data to Complete Appendix C'!$C$8:$Q$313,4,FALSE)</f>
        <v>0</v>
      </c>
      <c r="I99" s="12">
        <f>VLOOKUP($D99,'2022Data to Complete Appendix C'!$C$8:$Q$313,5,FALSE)</f>
        <v>153</v>
      </c>
      <c r="J99" s="114">
        <f>VLOOKUP($D99,'2022Data to Complete Appendix C'!$C$8:$Q$313,6,FALSE)</f>
        <v>2.18018</v>
      </c>
      <c r="K99" s="114">
        <f>VLOOKUP($D99,'2022Data to Complete Appendix C'!$C$8:$Q$313,7,FALSE)</f>
        <v>1.95</v>
      </c>
      <c r="L99" s="114">
        <f>VLOOKUP($D99,'2022Data to Complete Appendix C'!$C$8:$Q$313,8,FALSE)</f>
        <v>1.0341100000000001</v>
      </c>
      <c r="M99" s="12">
        <f>VLOOKUP($D99,'2022Data to Complete Appendix C'!$C$8:$Q$313,9,FALSE)</f>
        <v>4.2335099999999999</v>
      </c>
      <c r="N99" s="114">
        <f>VLOOKUP($D99,'2022Data to Complete Appendix C'!$C$8:$Q$313,10,FALSE)</f>
        <v>3.67385E-2</v>
      </c>
      <c r="O99" s="115">
        <f>VLOOKUP($D99,'2022Data to Complete Appendix C'!$C$8:$Q$313,11,FALSE)</f>
        <v>0.56699999999999995</v>
      </c>
      <c r="P99" s="115">
        <f>VLOOKUP($D99,'2022Data to Complete Appendix C'!$C$8:$Q$313,12,FALSE)</f>
        <v>0.772675</v>
      </c>
      <c r="Q99" s="115">
        <f>VLOOKUP($D99,'2022Data to Complete Appendix C'!$C$8:$Q$313,13,FALSE)</f>
        <v>0.66500000000000004</v>
      </c>
      <c r="R99" s="114">
        <f>VLOOKUP($D99,'2022Data to Complete Appendix C'!$C$8:$Q$313,14,FALSE)</f>
        <v>2.2999999999999998</v>
      </c>
      <c r="S99" s="115">
        <f>VLOOKUP($D99,'2022Data to Complete Appendix C'!$C$8:$Q$313,15,FALSE)</f>
        <v>0.21192900000000001</v>
      </c>
      <c r="T99" s="12">
        <f>IFERROR(VLOOKUP($D99,'2022LodgingbyWUP'!$A$1:$D$98,4,FALSE),0)</f>
        <v>1</v>
      </c>
      <c r="U99" s="12">
        <f t="shared" si="1"/>
        <v>1.5294999999999999</v>
      </c>
      <c r="V99" s="12">
        <f>IFERROR(VLOOKUP($D99,Total_DU!$B$5:$Z$174,22,0),0)</f>
        <v>0</v>
      </c>
      <c r="W99" s="12">
        <f>IFERROR(VLOOKUP($D99,Total_DU!$B$5:$Z$174,23,0),0)</f>
        <v>0</v>
      </c>
      <c r="X99" s="12">
        <f>IFERROR(VLOOKUP($D99,Total_DU!$B$5:$Z$174,24,0),0)</f>
        <v>0</v>
      </c>
      <c r="Y99" s="12">
        <f>IFERROR(VLOOKUP($D99,Total_DU!$B$5:$Z$174,25,0),0)</f>
        <v>0</v>
      </c>
      <c r="Z99" s="12">
        <f>IFERROR(VLOOKUP($D99,Population!$B$5:$Y$174,21,FALSE),0)</f>
        <v>0</v>
      </c>
      <c r="AA99" s="12">
        <f>IFERROR(VLOOKUP($D99,Population!$B$5:$Y$174,22,FALSE),0)</f>
        <v>0</v>
      </c>
      <c r="AB99" s="12">
        <f>IFERROR(VLOOKUP($D99,Population!$B$5:$Y$174,23,FALSE),0)</f>
        <v>0</v>
      </c>
      <c r="AC99" s="12">
        <f>IFERROR(VLOOKUP($D99,Population!$B$5:$Y$174,24,FALSE),0)</f>
        <v>0</v>
      </c>
    </row>
    <row r="100" spans="1:29" ht="15" x14ac:dyDescent="0.25">
      <c r="A100" s="11" t="s">
        <v>20</v>
      </c>
      <c r="B100" s="11" t="s">
        <v>716</v>
      </c>
      <c r="C100" s="11" t="s">
        <v>483</v>
      </c>
      <c r="D100" s="11">
        <v>279</v>
      </c>
      <c r="E100" s="11">
        <v>2022</v>
      </c>
      <c r="F100" s="12">
        <f>VLOOKUP($D100,'2022Data to Complete Appendix C'!$C$8:$Q$313,2,FALSE)</f>
        <v>4236</v>
      </c>
      <c r="G100" s="12">
        <f>VLOOKUP($D100,'2022Data to Complete Appendix C'!$C$8:$Q$313,3,FALSE)</f>
        <v>1773</v>
      </c>
      <c r="H100" s="12">
        <f>VLOOKUP($D100,'2022Data to Complete Appendix C'!$C$8:$Q$313,4,FALSE)</f>
        <v>0</v>
      </c>
      <c r="I100" s="12">
        <f>VLOOKUP($D100,'2022Data to Complete Appendix C'!$C$8:$Q$313,5,FALSE)</f>
        <v>2087</v>
      </c>
      <c r="J100" s="114">
        <f>VLOOKUP($D100,'2022Data to Complete Appendix C'!$C$8:$Q$313,6,FALSE)</f>
        <v>2.38917</v>
      </c>
      <c r="K100" s="114">
        <f>VLOOKUP($D100,'2022Data to Complete Appendix C'!$C$8:$Q$313,7,FALSE)</f>
        <v>1.95</v>
      </c>
      <c r="L100" s="114">
        <f>VLOOKUP($D100,'2022Data to Complete Appendix C'!$C$8:$Q$313,8,FALSE)</f>
        <v>1.0828</v>
      </c>
      <c r="M100" s="12">
        <f>VLOOKUP($D100,'2022Data to Complete Appendix C'!$C$8:$Q$313,9,FALSE)</f>
        <v>179.863</v>
      </c>
      <c r="N100" s="114">
        <f>VLOOKUP($D100,'2022Data to Complete Appendix C'!$C$8:$Q$313,10,FALSE)</f>
        <v>9.2102100000000006E-2</v>
      </c>
      <c r="O100" s="115">
        <f>VLOOKUP($D100,'2022Data to Complete Appendix C'!$C$8:$Q$313,11,FALSE)</f>
        <v>0.56699999999999995</v>
      </c>
      <c r="P100" s="115">
        <f>VLOOKUP($D100,'2022Data to Complete Appendix C'!$C$8:$Q$313,12,FALSE)</f>
        <v>0.772675</v>
      </c>
      <c r="Q100" s="115">
        <f>VLOOKUP($D100,'2022Data to Complete Appendix C'!$C$8:$Q$313,13,FALSE)</f>
        <v>0.74399999999999999</v>
      </c>
      <c r="R100" s="114">
        <f>VLOOKUP($D100,'2022Data to Complete Appendix C'!$C$8:$Q$313,14,FALSE)</f>
        <v>2.2999999999999998</v>
      </c>
      <c r="S100" s="115">
        <f>VLOOKUP($D100,'2022Data to Complete Appendix C'!$C$8:$Q$313,15,FALSE)</f>
        <v>-0.68358699999999994</v>
      </c>
      <c r="T100" s="12">
        <f>IFERROR(VLOOKUP($D100,'2022LodgingbyWUP'!$A$1:$D$98,4,FALSE),0)</f>
        <v>1</v>
      </c>
      <c r="U100" s="12">
        <f t="shared" si="1"/>
        <v>1.7111999999999998</v>
      </c>
      <c r="V100" s="12">
        <f>IFERROR(VLOOKUP($D100,Total_DU!$B$5:$Z$174,22,0),0)</f>
        <v>1539</v>
      </c>
      <c r="W100" s="12">
        <f>IFERROR(VLOOKUP($D100,Total_DU!$B$5:$Z$174,23,0),0)</f>
        <v>1539</v>
      </c>
      <c r="X100" s="12">
        <f>IFERROR(VLOOKUP($D100,Total_DU!$B$5:$Z$174,24,0),0)</f>
        <v>1604</v>
      </c>
      <c r="Y100" s="12">
        <f>IFERROR(VLOOKUP($D100,Total_DU!$B$5:$Z$174,25,0),0)</f>
        <v>1778</v>
      </c>
      <c r="Z100" s="12">
        <f>IFERROR(VLOOKUP($D100,Population!$B$5:$Y$174,21,FALSE),0)</f>
        <v>3553.4525405275899</v>
      </c>
      <c r="AA100" s="12">
        <f>IFERROR(VLOOKUP($D100,Population!$B$5:$Y$174,22,FALSE),0)</f>
        <v>3553.4180214251037</v>
      </c>
      <c r="AB100" s="12">
        <f>IFERROR(VLOOKUP($D100,Population!$B$5:$Y$174,23,FALSE),0)</f>
        <v>3703.409982915121</v>
      </c>
      <c r="AC100" s="12">
        <f>IFERROR(VLOOKUP($D100,Population!$B$5:$Y$174,24,FALSE),0)</f>
        <v>4105</v>
      </c>
    </row>
    <row r="101" spans="1:29" ht="15" x14ac:dyDescent="0.25">
      <c r="A101" s="2" t="s">
        <v>20</v>
      </c>
      <c r="B101" s="2" t="s">
        <v>578</v>
      </c>
      <c r="C101" s="2" t="s">
        <v>1</v>
      </c>
      <c r="D101" s="2">
        <v>540</v>
      </c>
      <c r="E101" s="11">
        <v>2022</v>
      </c>
      <c r="F101" s="12">
        <f>VLOOKUP($D101,'2022Data to Complete Appendix C'!$C$8:$Q$313,2,FALSE)</f>
        <v>1440</v>
      </c>
      <c r="G101" s="12">
        <f>VLOOKUP($D101,'2022Data to Complete Appendix C'!$C$8:$Q$313,3,FALSE)</f>
        <v>614</v>
      </c>
      <c r="H101" s="12">
        <f>VLOOKUP($D101,'2022Data to Complete Appendix C'!$C$8:$Q$313,4,FALSE)</f>
        <v>18</v>
      </c>
      <c r="I101" s="12">
        <f>VLOOKUP($D101,'2022Data to Complete Appendix C'!$C$8:$Q$313,5,FALSE)</f>
        <v>749</v>
      </c>
      <c r="J101" s="114">
        <f>VLOOKUP($D101,'2022Data to Complete Appendix C'!$C$8:$Q$313,6,FALSE)</f>
        <v>2.3452799999999998</v>
      </c>
      <c r="K101" s="114">
        <f>VLOOKUP($D101,'2022Data to Complete Appendix C'!$C$8:$Q$313,7,FALSE)</f>
        <v>1.95</v>
      </c>
      <c r="L101" s="114">
        <f>VLOOKUP($D101,'2022Data to Complete Appendix C'!$C$8:$Q$313,8,FALSE)</f>
        <v>1.14455</v>
      </c>
      <c r="M101" s="12">
        <f>VLOOKUP($D101,'2022Data to Complete Appendix C'!$C$8:$Q$313,9,FALSE)</f>
        <v>106.745</v>
      </c>
      <c r="N101" s="114">
        <f>VLOOKUP($D101,'2022Data to Complete Appendix C'!$C$8:$Q$313,10,FALSE)</f>
        <v>0.14810300000000001</v>
      </c>
      <c r="O101" s="115">
        <f>VLOOKUP($D101,'2022Data to Complete Appendix C'!$C$8:$Q$313,11,FALSE)</f>
        <v>0.56699999999999995</v>
      </c>
      <c r="P101" s="115">
        <f>VLOOKUP($D101,'2022Data to Complete Appendix C'!$C$8:$Q$313,12,FALSE)</f>
        <v>0.772675</v>
      </c>
      <c r="Q101" s="115">
        <f>VLOOKUP($D101,'2022Data to Complete Appendix C'!$C$8:$Q$313,13,FALSE)</f>
        <v>0.74399999999999999</v>
      </c>
      <c r="R101" s="114">
        <f>VLOOKUP($D101,'2022Data to Complete Appendix C'!$C$8:$Q$313,14,FALSE)</f>
        <v>2.2999999999999998</v>
      </c>
      <c r="S101" s="115">
        <f>VLOOKUP($D101,'2022Data to Complete Appendix C'!$C$8:$Q$313,15,FALSE)</f>
        <v>-0.427481</v>
      </c>
      <c r="T101" s="12">
        <f>IFERROR(VLOOKUP($D101,'2022LodgingbyWUP'!$A$1:$D$98,4,FALSE),0)</f>
        <v>0</v>
      </c>
      <c r="U101" s="12">
        <f t="shared" si="1"/>
        <v>0</v>
      </c>
      <c r="V101" s="12" t="str">
        <f>IFERROR(VLOOKUP($D101,Total_DU!$B$5:$Z$174,22,0),0)</f>
        <v>NA</v>
      </c>
      <c r="W101" s="12" t="str">
        <f>IFERROR(VLOOKUP($D101,Total_DU!$B$5:$Z$174,23,0),0)</f>
        <v>NA</v>
      </c>
      <c r="X101" s="12" t="str">
        <f>IFERROR(VLOOKUP($D101,Total_DU!$B$5:$Z$174,24,0),0)</f>
        <v>NA</v>
      </c>
      <c r="Y101" s="12" t="str">
        <f>IFERROR(VLOOKUP($D101,Total_DU!$B$5:$Z$174,25,0),0)</f>
        <v>NA</v>
      </c>
      <c r="Z101" s="12" t="str">
        <f>IFERROR(VLOOKUP($D101,Population!$B$5:$Y$174,21,FALSE),0)</f>
        <v>NA</v>
      </c>
      <c r="AA101" s="12" t="str">
        <f>IFERROR(VLOOKUP($D101,Population!$B$5:$Y$174,22,FALSE),0)</f>
        <v>NA</v>
      </c>
      <c r="AB101" s="12" t="str">
        <f>IFERROR(VLOOKUP($D101,Population!$B$5:$Y$174,23,FALSE),0)</f>
        <v>NA</v>
      </c>
      <c r="AC101" s="12" t="str">
        <f>IFERROR(VLOOKUP($D101,Population!$B$5:$Y$174,24,FALSE),0)</f>
        <v>NA</v>
      </c>
    </row>
    <row r="102" spans="1:29" ht="15" x14ac:dyDescent="0.25">
      <c r="A102" s="11" t="s">
        <v>20</v>
      </c>
      <c r="B102" s="11" t="s">
        <v>579</v>
      </c>
      <c r="C102" s="11" t="s">
        <v>100</v>
      </c>
      <c r="D102" s="11">
        <v>543</v>
      </c>
      <c r="E102" s="11">
        <v>2022</v>
      </c>
      <c r="F102" s="12">
        <f>VLOOKUP($D102,'2022Data to Complete Appendix C'!$C$8:$Q$313,2,FALSE)</f>
        <v>1555</v>
      </c>
      <c r="G102" s="12">
        <f>VLOOKUP($D102,'2022Data to Complete Appendix C'!$C$8:$Q$313,3,FALSE)</f>
        <v>674</v>
      </c>
      <c r="H102" s="12">
        <f>VLOOKUP($D102,'2022Data to Complete Appendix C'!$C$8:$Q$313,4,FALSE)</f>
        <v>0</v>
      </c>
      <c r="I102" s="12">
        <f>VLOOKUP($D102,'2022Data to Complete Appendix C'!$C$8:$Q$313,5,FALSE)</f>
        <v>822</v>
      </c>
      <c r="J102" s="114">
        <f>VLOOKUP($D102,'2022Data to Complete Appendix C'!$C$8:$Q$313,6,FALSE)</f>
        <v>2.3071199999999998</v>
      </c>
      <c r="K102" s="114">
        <f>VLOOKUP($D102,'2022Data to Complete Appendix C'!$C$8:$Q$313,7,FALSE)</f>
        <v>1.95</v>
      </c>
      <c r="L102" s="114">
        <f>VLOOKUP($D102,'2022Data to Complete Appendix C'!$C$8:$Q$313,8,FALSE)</f>
        <v>1.14455</v>
      </c>
      <c r="M102" s="12">
        <f>VLOOKUP($D102,'2022Data to Complete Appendix C'!$C$8:$Q$313,9,FALSE)</f>
        <v>115.26900000000001</v>
      </c>
      <c r="N102" s="114">
        <f>VLOOKUP($D102,'2022Data to Complete Appendix C'!$C$8:$Q$313,10,FALSE)</f>
        <v>0.14604600000000001</v>
      </c>
      <c r="O102" s="115">
        <f>VLOOKUP($D102,'2022Data to Complete Appendix C'!$C$8:$Q$313,11,FALSE)</f>
        <v>0.56699999999999995</v>
      </c>
      <c r="P102" s="115">
        <f>VLOOKUP($D102,'2022Data to Complete Appendix C'!$C$8:$Q$313,12,FALSE)</f>
        <v>0.772675</v>
      </c>
      <c r="Q102" s="115">
        <f>VLOOKUP($D102,'2022Data to Complete Appendix C'!$C$8:$Q$313,13,FALSE)</f>
        <v>0.74399999999999999</v>
      </c>
      <c r="R102" s="114">
        <f>VLOOKUP($D102,'2022Data to Complete Appendix C'!$C$8:$Q$313,14,FALSE)</f>
        <v>2.2999999999999998</v>
      </c>
      <c r="S102" s="115">
        <f>VLOOKUP($D102,'2022Data to Complete Appendix C'!$C$8:$Q$313,15,FALSE)</f>
        <v>-0.18881300000000001</v>
      </c>
      <c r="T102" s="12">
        <f>IFERROR(VLOOKUP($D102,'2022LodgingbyWUP'!$A$1:$D$98,4,FALSE),0)</f>
        <v>0</v>
      </c>
      <c r="U102" s="12">
        <f t="shared" si="1"/>
        <v>0</v>
      </c>
      <c r="V102" s="12" t="str">
        <f>IFERROR(VLOOKUP($D102,Total_DU!$B$5:$Z$174,22,0),0)</f>
        <v>NA</v>
      </c>
      <c r="W102" s="12" t="str">
        <f>IFERROR(VLOOKUP($D102,Total_DU!$B$5:$Z$174,23,0),0)</f>
        <v>NA</v>
      </c>
      <c r="X102" s="12" t="str">
        <f>IFERROR(VLOOKUP($D102,Total_DU!$B$5:$Z$174,24,0),0)</f>
        <v>NA</v>
      </c>
      <c r="Y102" s="12" t="str">
        <f>IFERROR(VLOOKUP($D102,Total_DU!$B$5:$Z$174,25,0),0)</f>
        <v>NA</v>
      </c>
      <c r="Z102" s="12" t="str">
        <f>IFERROR(VLOOKUP($D102,Population!$B$5:$Y$174,21,FALSE),0)</f>
        <v>NA</v>
      </c>
      <c r="AA102" s="12" t="str">
        <f>IFERROR(VLOOKUP($D102,Population!$B$5:$Y$174,22,FALSE),0)</f>
        <v>NA</v>
      </c>
      <c r="AB102" s="12" t="str">
        <f>IFERROR(VLOOKUP($D102,Population!$B$5:$Y$174,23,FALSE),0)</f>
        <v>NA</v>
      </c>
      <c r="AC102" s="12" t="str">
        <f>IFERROR(VLOOKUP($D102,Population!$B$5:$Y$174,24,FALSE),0)</f>
        <v>NA</v>
      </c>
    </row>
    <row r="103" spans="1:29" ht="15" x14ac:dyDescent="0.25">
      <c r="A103" s="2" t="s">
        <v>20</v>
      </c>
      <c r="B103" s="2" t="s">
        <v>580</v>
      </c>
      <c r="C103" s="2" t="s">
        <v>483</v>
      </c>
      <c r="D103" s="2">
        <v>590</v>
      </c>
      <c r="E103" s="11">
        <v>2022</v>
      </c>
      <c r="F103" s="12">
        <f>VLOOKUP($D103,'2022Data to Complete Appendix C'!$C$8:$Q$313,2,FALSE)</f>
        <v>9898</v>
      </c>
      <c r="G103" s="12">
        <f>VLOOKUP($D103,'2022Data to Complete Appendix C'!$C$8:$Q$313,3,FALSE)</f>
        <v>3732</v>
      </c>
      <c r="H103" s="12">
        <f>VLOOKUP($D103,'2022Data to Complete Appendix C'!$C$8:$Q$313,4,FALSE)</f>
        <v>2</v>
      </c>
      <c r="I103" s="12">
        <f>VLOOKUP($D103,'2022Data to Complete Appendix C'!$C$8:$Q$313,5,FALSE)</f>
        <v>4073</v>
      </c>
      <c r="J103" s="114">
        <f>VLOOKUP($D103,'2022Data to Complete Appendix C'!$C$8:$Q$313,6,FALSE)</f>
        <v>2.6522000000000001</v>
      </c>
      <c r="K103" s="114">
        <f>VLOOKUP($D103,'2022Data to Complete Appendix C'!$C$8:$Q$313,7,FALSE)</f>
        <v>1.95</v>
      </c>
      <c r="L103" s="114">
        <f>VLOOKUP($D103,'2022Data to Complete Appendix C'!$C$8:$Q$313,8,FALSE)</f>
        <v>1.00928</v>
      </c>
      <c r="M103" s="12">
        <f>VLOOKUP($D103,'2022Data to Complete Appendix C'!$C$8:$Q$313,9,FALSE)</f>
        <v>47.104300000000002</v>
      </c>
      <c r="N103" s="114">
        <f>VLOOKUP($D103,'2022Data to Complete Appendix C'!$C$8:$Q$313,10,FALSE)</f>
        <v>1.24644E-2</v>
      </c>
      <c r="O103" s="115">
        <f>VLOOKUP($D103,'2022Data to Complete Appendix C'!$C$8:$Q$313,11,FALSE)</f>
        <v>0.56699999999999995</v>
      </c>
      <c r="P103" s="115">
        <f>VLOOKUP($D103,'2022Data to Complete Appendix C'!$C$8:$Q$313,12,FALSE)</f>
        <v>0.772675</v>
      </c>
      <c r="Q103" s="115">
        <f>VLOOKUP($D103,'2022Data to Complete Appendix C'!$C$8:$Q$313,13,FALSE)</f>
        <v>0.74399999999999999</v>
      </c>
      <c r="R103" s="114">
        <f>VLOOKUP($D103,'2022Data to Complete Appendix C'!$C$8:$Q$313,14,FALSE)</f>
        <v>2.2999999999999998</v>
      </c>
      <c r="S103" s="115">
        <f>VLOOKUP($D103,'2022Data to Complete Appendix C'!$C$8:$Q$313,15,FALSE)</f>
        <v>-0.40405200000000002</v>
      </c>
      <c r="T103" s="12">
        <f>IFERROR(VLOOKUP($D103,'2022LodgingbyWUP'!$A$1:$D$98,4,FALSE),0)</f>
        <v>1</v>
      </c>
      <c r="U103" s="12">
        <f t="shared" si="1"/>
        <v>1.7111999999999998</v>
      </c>
      <c r="V103" s="12">
        <f>IFERROR(VLOOKUP($D103,Total_DU!$B$5:$Z$174,22,0),0)</f>
        <v>3263</v>
      </c>
      <c r="W103" s="12">
        <f>IFERROR(VLOOKUP($D103,Total_DU!$B$5:$Z$174,23,0),0)</f>
        <v>3434</v>
      </c>
      <c r="X103" s="12">
        <f>IFERROR(VLOOKUP($D103,Total_DU!$B$5:$Z$174,24,0),0)</f>
        <v>3171</v>
      </c>
      <c r="Y103" s="12">
        <f>IFERROR(VLOOKUP($D103,Total_DU!$B$5:$Z$174,25,0),0)</f>
        <v>3178</v>
      </c>
      <c r="Z103" s="12">
        <f>IFERROR(VLOOKUP($D103,Population!$B$5:$Y$174,21,FALSE),0)</f>
        <v>8609.1439980093328</v>
      </c>
      <c r="AA103" s="12">
        <f>IFERROR(VLOOKUP($D103,Population!$B$5:$Y$174,22,FALSE),0)</f>
        <v>9060.3111722466529</v>
      </c>
      <c r="AB103" s="12">
        <f>IFERROR(VLOOKUP($D103,Population!$B$5:$Y$174,23,FALSE),0)</f>
        <v>8366.4084289958373</v>
      </c>
      <c r="AC103" s="12">
        <f>IFERROR(VLOOKUP($D103,Population!$B$5:$Y$174,24,FALSE),0)</f>
        <v>8385</v>
      </c>
    </row>
    <row r="104" spans="1:29" ht="15" x14ac:dyDescent="0.25">
      <c r="A104" s="11" t="s">
        <v>20</v>
      </c>
      <c r="B104" s="11" t="s">
        <v>581</v>
      </c>
      <c r="C104" s="11" t="s">
        <v>484</v>
      </c>
      <c r="D104" s="11">
        <v>923</v>
      </c>
      <c r="E104" s="11">
        <v>2022</v>
      </c>
      <c r="F104" s="12">
        <f>VLOOKUP($D104,'2022Data to Complete Appendix C'!$C$8:$Q$313,2,FALSE)</f>
        <v>360</v>
      </c>
      <c r="G104" s="12">
        <f>VLOOKUP($D104,'2022Data to Complete Appendix C'!$C$8:$Q$313,3,FALSE)</f>
        <v>148</v>
      </c>
      <c r="H104" s="12">
        <f>VLOOKUP($D104,'2022Data to Complete Appendix C'!$C$8:$Q$313,4,FALSE)</f>
        <v>0</v>
      </c>
      <c r="I104" s="12">
        <f>VLOOKUP($D104,'2022Data to Complete Appendix C'!$C$8:$Q$313,5,FALSE)</f>
        <v>160</v>
      </c>
      <c r="J104" s="114">
        <f>VLOOKUP($D104,'2022Data to Complete Appendix C'!$C$8:$Q$313,6,FALSE)</f>
        <v>2.4324300000000001</v>
      </c>
      <c r="K104" s="114">
        <f>VLOOKUP($D104,'2022Data to Complete Appendix C'!$C$8:$Q$313,7,FALSE)</f>
        <v>1.95</v>
      </c>
      <c r="L104" s="114">
        <f>VLOOKUP($D104,'2022Data to Complete Appendix C'!$C$8:$Q$313,8,FALSE)</f>
        <v>1.09961</v>
      </c>
      <c r="M104" s="12">
        <f>VLOOKUP($D104,'2022Data to Complete Appendix C'!$C$8:$Q$313,9,FALSE)</f>
        <v>18.389900000000001</v>
      </c>
      <c r="N104" s="114">
        <f>VLOOKUP($D104,'2022Data to Complete Appendix C'!$C$8:$Q$313,10,FALSE)</f>
        <v>0.110523</v>
      </c>
      <c r="O104" s="115">
        <f>VLOOKUP($D104,'2022Data to Complete Appendix C'!$C$8:$Q$313,11,FALSE)</f>
        <v>0.56699999999999995</v>
      </c>
      <c r="P104" s="115">
        <f>VLOOKUP($D104,'2022Data to Complete Appendix C'!$C$8:$Q$313,12,FALSE)</f>
        <v>0.772675</v>
      </c>
      <c r="Q104" s="115">
        <f>VLOOKUP($D104,'2022Data to Complete Appendix C'!$C$8:$Q$313,13,FALSE)</f>
        <v>0.74399999999999999</v>
      </c>
      <c r="R104" s="114">
        <f>VLOOKUP($D104,'2022Data to Complete Appendix C'!$C$8:$Q$313,14,FALSE)</f>
        <v>2.2999999999999998</v>
      </c>
      <c r="S104" s="115">
        <f>VLOOKUP($D104,'2022Data to Complete Appendix C'!$C$8:$Q$313,15,FALSE)</f>
        <v>-0.96679700000000002</v>
      </c>
      <c r="T104" s="12">
        <f>IFERROR(VLOOKUP($D104,'2022LodgingbyWUP'!$A$1:$D$98,4,FALSE),0)</f>
        <v>0</v>
      </c>
      <c r="U104" s="12">
        <f t="shared" si="1"/>
        <v>0</v>
      </c>
      <c r="V104" s="12">
        <f>IFERROR(VLOOKUP($D104,Total_DU!$B$5:$Z$174,22,0),0)</f>
        <v>0</v>
      </c>
      <c r="W104" s="12">
        <f>IFERROR(VLOOKUP($D104,Total_DU!$B$5:$Z$174,23,0),0)</f>
        <v>0</v>
      </c>
      <c r="X104" s="12">
        <f>IFERROR(VLOOKUP($D104,Total_DU!$B$5:$Z$174,24,0),0)</f>
        <v>0</v>
      </c>
      <c r="Y104" s="12">
        <f>IFERROR(VLOOKUP($D104,Total_DU!$B$5:$Z$174,25,0),0)</f>
        <v>0</v>
      </c>
      <c r="Z104" s="12">
        <f>IFERROR(VLOOKUP($D104,Population!$B$5:$Y$174,21,FALSE),0)</f>
        <v>0</v>
      </c>
      <c r="AA104" s="12">
        <f>IFERROR(VLOOKUP($D104,Population!$B$5:$Y$174,22,FALSE),0)</f>
        <v>0</v>
      </c>
      <c r="AB104" s="12">
        <f>IFERROR(VLOOKUP($D104,Population!$B$5:$Y$174,23,FALSE),0)</f>
        <v>0</v>
      </c>
      <c r="AC104" s="12">
        <f>IFERROR(VLOOKUP($D104,Population!$B$5:$Y$174,24,FALSE),0)</f>
        <v>0</v>
      </c>
    </row>
    <row r="105" spans="1:29" ht="15" x14ac:dyDescent="0.25">
      <c r="A105" s="2" t="s">
        <v>20</v>
      </c>
      <c r="B105" s="2" t="s">
        <v>582</v>
      </c>
      <c r="C105" s="2" t="s">
        <v>42</v>
      </c>
      <c r="D105" s="2">
        <v>964</v>
      </c>
      <c r="E105" s="11">
        <v>2022</v>
      </c>
      <c r="F105" s="12">
        <f>VLOOKUP($D105,'2022Data to Complete Appendix C'!$C$8:$Q$313,2,FALSE)</f>
        <v>1253</v>
      </c>
      <c r="G105" s="12">
        <f>VLOOKUP($D105,'2022Data to Complete Appendix C'!$C$8:$Q$313,3,FALSE)</f>
        <v>473</v>
      </c>
      <c r="H105" s="12">
        <f>VLOOKUP($D105,'2022Data to Complete Appendix C'!$C$8:$Q$313,4,FALSE)</f>
        <v>0</v>
      </c>
      <c r="I105" s="12">
        <f>VLOOKUP($D105,'2022Data to Complete Appendix C'!$C$8:$Q$313,5,FALSE)</f>
        <v>542</v>
      </c>
      <c r="J105" s="114">
        <f>VLOOKUP($D105,'2022Data to Complete Appendix C'!$C$8:$Q$313,6,FALSE)</f>
        <v>2.6490499999999999</v>
      </c>
      <c r="K105" s="114">
        <f>VLOOKUP($D105,'2022Data to Complete Appendix C'!$C$8:$Q$313,7,FALSE)</f>
        <v>1.95</v>
      </c>
      <c r="L105" s="114">
        <f>VLOOKUP($D105,'2022Data to Complete Appendix C'!$C$8:$Q$313,8,FALSE)</f>
        <v>1.2938499999999999</v>
      </c>
      <c r="M105" s="12">
        <f>VLOOKUP($D105,'2022Data to Complete Appendix C'!$C$8:$Q$313,9,FALSE)</f>
        <v>188.82</v>
      </c>
      <c r="N105" s="114">
        <f>VLOOKUP($D105,'2022Data to Complete Appendix C'!$C$8:$Q$313,10,FALSE)</f>
        <v>0.285304</v>
      </c>
      <c r="O105" s="115">
        <f>VLOOKUP($D105,'2022Data to Complete Appendix C'!$C$8:$Q$313,11,FALSE)</f>
        <v>0.56699999999999995</v>
      </c>
      <c r="P105" s="115">
        <f>VLOOKUP($D105,'2022Data to Complete Appendix C'!$C$8:$Q$313,12,FALSE)</f>
        <v>0.772675</v>
      </c>
      <c r="Q105" s="115">
        <f>VLOOKUP($D105,'2022Data to Complete Appendix C'!$C$8:$Q$313,13,FALSE)</f>
        <v>0.74399999999999999</v>
      </c>
      <c r="R105" s="114">
        <f>VLOOKUP($D105,'2022Data to Complete Appendix C'!$C$8:$Q$313,14,FALSE)</f>
        <v>2.2999999999999998</v>
      </c>
      <c r="S105" s="115">
        <f>VLOOKUP($D105,'2022Data to Complete Appendix C'!$C$8:$Q$313,15,FALSE)</f>
        <v>-0.140843</v>
      </c>
      <c r="T105" s="12">
        <f>IFERROR(VLOOKUP($D105,'2022LodgingbyWUP'!$A$1:$D$98,4,FALSE),0)</f>
        <v>0</v>
      </c>
      <c r="U105" s="12">
        <f t="shared" si="1"/>
        <v>0</v>
      </c>
      <c r="V105" s="12">
        <f>IFERROR(VLOOKUP($D105,Total_DU!$B$5:$Z$174,22,0),0)</f>
        <v>404</v>
      </c>
      <c r="W105" s="12">
        <f>IFERROR(VLOOKUP($D105,Total_DU!$B$5:$Z$174,23,0),0)</f>
        <v>404</v>
      </c>
      <c r="X105" s="12" t="str">
        <f>IFERROR(VLOOKUP($D105,Total_DU!$B$5:$Z$174,24,0),0)</f>
        <v>NA</v>
      </c>
      <c r="Y105" s="12" t="str">
        <f>IFERROR(VLOOKUP($D105,Total_DU!$B$5:$Z$174,25,0),0)</f>
        <v>NA</v>
      </c>
      <c r="Z105" s="12">
        <f>IFERROR(VLOOKUP($D105,Population!$B$5:$Y$174,21,FALSE),0)</f>
        <v>938.54897967166494</v>
      </c>
      <c r="AA105" s="12">
        <f>IFERROR(VLOOKUP($D105,Population!$B$5:$Y$174,22,FALSE),0)</f>
        <v>938.54897967166494</v>
      </c>
      <c r="AB105" s="12" t="str">
        <f>IFERROR(VLOOKUP($D105,Population!$B$5:$Y$174,23,FALSE),0)</f>
        <v>NA</v>
      </c>
      <c r="AC105" s="12" t="str">
        <f>IFERROR(VLOOKUP($D105,Population!$B$5:$Y$174,24,FALSE),0)</f>
        <v>NA</v>
      </c>
    </row>
    <row r="106" spans="1:29" ht="15" x14ac:dyDescent="0.25">
      <c r="A106" s="11" t="s">
        <v>20</v>
      </c>
      <c r="B106" s="11" t="s">
        <v>583</v>
      </c>
      <c r="C106" s="11" t="s">
        <v>65</v>
      </c>
      <c r="D106" s="11">
        <v>1631</v>
      </c>
      <c r="E106" s="11">
        <v>2022</v>
      </c>
      <c r="F106" s="12">
        <f>VLOOKUP($D106,'2022Data to Complete Appendix C'!$C$8:$Q$313,2,FALSE)</f>
        <v>17645</v>
      </c>
      <c r="G106" s="12">
        <f>VLOOKUP($D106,'2022Data to Complete Appendix C'!$C$8:$Q$313,3,FALSE)</f>
        <v>6632</v>
      </c>
      <c r="H106" s="12">
        <f>VLOOKUP($D106,'2022Data to Complete Appendix C'!$C$8:$Q$313,4,FALSE)</f>
        <v>280</v>
      </c>
      <c r="I106" s="12">
        <f>VLOOKUP($D106,'2022Data to Complete Appendix C'!$C$8:$Q$313,5,FALSE)</f>
        <v>7897</v>
      </c>
      <c r="J106" s="114">
        <f>VLOOKUP($D106,'2022Data to Complete Appendix C'!$C$8:$Q$313,6,FALSE)</f>
        <v>2.6605799999999999</v>
      </c>
      <c r="K106" s="114">
        <f>VLOOKUP($D106,'2022Data to Complete Appendix C'!$C$8:$Q$313,7,FALSE)</f>
        <v>1.95</v>
      </c>
      <c r="L106" s="114">
        <f>VLOOKUP($D106,'2022Data to Complete Appendix C'!$C$8:$Q$313,8,FALSE)</f>
        <v>1.0705499999999999</v>
      </c>
      <c r="M106" s="12">
        <f>VLOOKUP($D106,'2022Data to Complete Appendix C'!$C$8:$Q$313,9,FALSE)</f>
        <v>638.37800000000004</v>
      </c>
      <c r="N106" s="114">
        <f>VLOOKUP($D106,'2022Data to Complete Appendix C'!$C$8:$Q$313,10,FALSE)</f>
        <v>8.7805300000000003E-2</v>
      </c>
      <c r="O106" s="115">
        <f>VLOOKUP($D106,'2022Data to Complete Appendix C'!$C$8:$Q$313,11,FALSE)</f>
        <v>0.56699999999999995</v>
      </c>
      <c r="P106" s="115">
        <f>VLOOKUP($D106,'2022Data to Complete Appendix C'!$C$8:$Q$313,12,FALSE)</f>
        <v>0.772675</v>
      </c>
      <c r="Q106" s="115">
        <f>VLOOKUP($D106,'2022Data to Complete Appendix C'!$C$8:$Q$313,13,FALSE)</f>
        <v>0.74399999999999999</v>
      </c>
      <c r="R106" s="114">
        <f>VLOOKUP($D106,'2022Data to Complete Appendix C'!$C$8:$Q$313,14,FALSE)</f>
        <v>2.2999999999999998</v>
      </c>
      <c r="S106" s="115">
        <f>VLOOKUP($D106,'2022Data to Complete Appendix C'!$C$8:$Q$313,15,FALSE)</f>
        <v>0.20336000000000001</v>
      </c>
      <c r="T106" s="12">
        <f>IFERROR(VLOOKUP($D106,'2022LodgingbyWUP'!$A$1:$D$98,4,FALSE),0)</f>
        <v>124</v>
      </c>
      <c r="U106" s="12">
        <f t="shared" si="1"/>
        <v>212.18879999999999</v>
      </c>
      <c r="V106" s="12">
        <f>IFERROR(VLOOKUP($D106,Total_DU!$B$5:$Z$174,22,0),0)</f>
        <v>4666</v>
      </c>
      <c r="W106" s="12">
        <f>IFERROR(VLOOKUP($D106,Total_DU!$B$5:$Z$174,23,0),0)</f>
        <v>4698</v>
      </c>
      <c r="X106" s="12">
        <f>IFERROR(VLOOKUP($D106,Total_DU!$B$5:$Z$174,24,0),0)</f>
        <v>4776</v>
      </c>
      <c r="Y106" s="12">
        <f>IFERROR(VLOOKUP($D106,Total_DU!$B$5:$Z$174,25,0),0)</f>
        <v>4946</v>
      </c>
      <c r="Z106" s="12">
        <f>IFERROR(VLOOKUP($D106,Population!$B$5:$Y$174,21,FALSE),0)</f>
        <v>12530.428126434146</v>
      </c>
      <c r="AA106" s="12">
        <f>IFERROR(VLOOKUP($D106,Population!$B$5:$Y$174,22,FALSE),0)</f>
        <v>12610.793489104593</v>
      </c>
      <c r="AB106" s="12">
        <f>IFERROR(VLOOKUP($D106,Population!$B$5:$Y$174,23,FALSE),0)</f>
        <v>12814.365153465529</v>
      </c>
      <c r="AC106" s="12">
        <f>IFERROR(VLOOKUP($D106,Population!$B$5:$Y$174,24,FALSE),0)</f>
        <v>13231</v>
      </c>
    </row>
    <row r="107" spans="1:29" ht="15" x14ac:dyDescent="0.25">
      <c r="A107" s="2" t="s">
        <v>20</v>
      </c>
      <c r="B107" s="2" t="s">
        <v>584</v>
      </c>
      <c r="C107" s="2" t="s">
        <v>2</v>
      </c>
      <c r="D107" s="2">
        <v>2043</v>
      </c>
      <c r="E107" s="11">
        <v>2022</v>
      </c>
      <c r="F107" s="12">
        <f>VLOOKUP($D107,'2022Data to Complete Appendix C'!$C$8:$Q$313,2,FALSE)</f>
        <v>1348</v>
      </c>
      <c r="G107" s="12">
        <f>VLOOKUP($D107,'2022Data to Complete Appendix C'!$C$8:$Q$313,3,FALSE)</f>
        <v>630</v>
      </c>
      <c r="H107" s="12">
        <f>VLOOKUP($D107,'2022Data to Complete Appendix C'!$C$8:$Q$313,4,FALSE)</f>
        <v>0</v>
      </c>
      <c r="I107" s="12">
        <f>VLOOKUP($D107,'2022Data to Complete Appendix C'!$C$8:$Q$313,5,FALSE)</f>
        <v>749</v>
      </c>
      <c r="J107" s="114">
        <f>VLOOKUP($D107,'2022Data to Complete Appendix C'!$C$8:$Q$313,6,FALSE)</f>
        <v>2.1396799999999998</v>
      </c>
      <c r="K107" s="114">
        <f>VLOOKUP($D107,'2022Data to Complete Appendix C'!$C$8:$Q$313,7,FALSE)</f>
        <v>1.95</v>
      </c>
      <c r="L107" s="114">
        <f>VLOOKUP($D107,'2022Data to Complete Appendix C'!$C$8:$Q$313,8,FALSE)</f>
        <v>1.0617399999999999</v>
      </c>
      <c r="M107" s="12">
        <f>VLOOKUP($D107,'2022Data to Complete Appendix C'!$C$8:$Q$313,9,FALSE)</f>
        <v>42.681800000000003</v>
      </c>
      <c r="N107" s="114">
        <f>VLOOKUP($D107,'2022Data to Complete Appendix C'!$C$8:$Q$313,10,FALSE)</f>
        <v>6.3450199999999998E-2</v>
      </c>
      <c r="O107" s="115">
        <f>VLOOKUP($D107,'2022Data to Complete Appendix C'!$C$8:$Q$313,11,FALSE)</f>
        <v>0.56699999999999995</v>
      </c>
      <c r="P107" s="115">
        <f>VLOOKUP($D107,'2022Data to Complete Appendix C'!$C$8:$Q$313,12,FALSE)</f>
        <v>0.772675</v>
      </c>
      <c r="Q107" s="115">
        <f>VLOOKUP($D107,'2022Data to Complete Appendix C'!$C$8:$Q$313,13,FALSE)</f>
        <v>0.74399999999999999</v>
      </c>
      <c r="R107" s="114">
        <f>VLOOKUP($D107,'2022Data to Complete Appendix C'!$C$8:$Q$313,14,FALSE)</f>
        <v>2.2999999999999998</v>
      </c>
      <c r="S107" s="115">
        <f>VLOOKUP($D107,'2022Data to Complete Appendix C'!$C$8:$Q$313,15,FALSE)</f>
        <v>-0.214113</v>
      </c>
      <c r="T107" s="12">
        <f>IFERROR(VLOOKUP($D107,'2022LodgingbyWUP'!$A$1:$D$98,4,FALSE),0)</f>
        <v>0</v>
      </c>
      <c r="U107" s="12">
        <f t="shared" si="1"/>
        <v>0</v>
      </c>
      <c r="V107" s="12" t="str">
        <f>IFERROR(VLOOKUP($D107,Total_DU!$B$5:$Z$174,22,0),0)</f>
        <v>NA</v>
      </c>
      <c r="W107" s="12" t="str">
        <f>IFERROR(VLOOKUP($D107,Total_DU!$B$5:$Z$174,23,0),0)</f>
        <v>NA</v>
      </c>
      <c r="X107" s="12" t="str">
        <f>IFERROR(VLOOKUP($D107,Total_DU!$B$5:$Z$174,24,0),0)</f>
        <v>NA</v>
      </c>
      <c r="Y107" s="12" t="str">
        <f>IFERROR(VLOOKUP($D107,Total_DU!$B$5:$Z$174,25,0),0)</f>
        <v>NA</v>
      </c>
      <c r="Z107" s="12">
        <f>IFERROR(VLOOKUP($D107,Population!$B$5:$Y$174,21,FALSE),0)</f>
        <v>1040</v>
      </c>
      <c r="AA107" s="12" t="str">
        <f>IFERROR(VLOOKUP($D107,Population!$B$5:$Y$174,22,FALSE),0)</f>
        <v>NA</v>
      </c>
      <c r="AB107" s="12" t="str">
        <f>IFERROR(VLOOKUP($D107,Population!$B$5:$Y$174,23,FALSE),0)</f>
        <v>NA</v>
      </c>
      <c r="AC107" s="12" t="str">
        <f>IFERROR(VLOOKUP($D107,Population!$B$5:$Y$174,24,FALSE),0)</f>
        <v>NA</v>
      </c>
    </row>
    <row r="108" spans="1:29" ht="15" x14ac:dyDescent="0.25">
      <c r="A108" s="11" t="s">
        <v>20</v>
      </c>
      <c r="B108" s="11" t="s">
        <v>585</v>
      </c>
      <c r="C108" s="11" t="s">
        <v>483</v>
      </c>
      <c r="D108" s="11">
        <v>2319</v>
      </c>
      <c r="E108" s="11">
        <v>2022</v>
      </c>
      <c r="F108" s="12">
        <f>VLOOKUP($D108,'2022Data to Complete Appendix C'!$C$8:$Q$313,2,FALSE)</f>
        <v>685</v>
      </c>
      <c r="G108" s="12">
        <f>VLOOKUP($D108,'2022Data to Complete Appendix C'!$C$8:$Q$313,3,FALSE)</f>
        <v>271</v>
      </c>
      <c r="H108" s="12">
        <f>VLOOKUP($D108,'2022Data to Complete Appendix C'!$C$8:$Q$313,4,FALSE)</f>
        <v>27</v>
      </c>
      <c r="I108" s="12">
        <f>VLOOKUP($D108,'2022Data to Complete Appendix C'!$C$8:$Q$313,5,FALSE)</f>
        <v>341</v>
      </c>
      <c r="J108" s="114">
        <f>VLOOKUP($D108,'2022Data to Complete Appendix C'!$C$8:$Q$313,6,FALSE)</f>
        <v>2.5276800000000001</v>
      </c>
      <c r="K108" s="114">
        <f>VLOOKUP($D108,'2022Data to Complete Appendix C'!$C$8:$Q$313,7,FALSE)</f>
        <v>1.95</v>
      </c>
      <c r="L108" s="114">
        <f>VLOOKUP($D108,'2022Data to Complete Appendix C'!$C$8:$Q$313,8,FALSE)</f>
        <v>1.00709</v>
      </c>
      <c r="M108" s="12">
        <f>VLOOKUP($D108,'2022Data to Complete Appendix C'!$C$8:$Q$313,9,FALSE)</f>
        <v>2.4919899999999999</v>
      </c>
      <c r="N108" s="114">
        <f>VLOOKUP($D108,'2022Data to Complete Appendix C'!$C$8:$Q$313,10,FALSE)</f>
        <v>9.1117699999999999E-3</v>
      </c>
      <c r="O108" s="115">
        <f>VLOOKUP($D108,'2022Data to Complete Appendix C'!$C$8:$Q$313,11,FALSE)</f>
        <v>0.56699999999999995</v>
      </c>
      <c r="P108" s="115">
        <f>VLOOKUP($D108,'2022Data to Complete Appendix C'!$C$8:$Q$313,12,FALSE)</f>
        <v>0.772675</v>
      </c>
      <c r="Q108" s="115">
        <f>VLOOKUP($D108,'2022Data to Complete Appendix C'!$C$8:$Q$313,13,FALSE)</f>
        <v>0.74399999999999999</v>
      </c>
      <c r="R108" s="114">
        <f>VLOOKUP($D108,'2022Data to Complete Appendix C'!$C$8:$Q$313,14,FALSE)</f>
        <v>2.2999999999999998</v>
      </c>
      <c r="S108" s="115">
        <f>VLOOKUP($D108,'2022Data to Complete Appendix C'!$C$8:$Q$313,15,FALSE)</f>
        <v>-0.75090299999999999</v>
      </c>
      <c r="T108" s="12">
        <f>IFERROR(VLOOKUP($D108,'2022LodgingbyWUP'!$A$1:$D$98,4,FALSE),0)</f>
        <v>0</v>
      </c>
      <c r="U108" s="12">
        <f t="shared" si="1"/>
        <v>0</v>
      </c>
      <c r="V108" s="12">
        <f>IFERROR(VLOOKUP($D108,Total_DU!$B$5:$Z$174,22,0),0)</f>
        <v>0</v>
      </c>
      <c r="W108" s="12">
        <f>IFERROR(VLOOKUP($D108,Total_DU!$B$5:$Z$174,23,0),0)</f>
        <v>0</v>
      </c>
      <c r="X108" s="12">
        <f>IFERROR(VLOOKUP($D108,Total_DU!$B$5:$Z$174,24,0),0)</f>
        <v>0</v>
      </c>
      <c r="Y108" s="12">
        <f>IFERROR(VLOOKUP($D108,Total_DU!$B$5:$Z$174,25,0),0)</f>
        <v>0</v>
      </c>
      <c r="Z108" s="12">
        <f>IFERROR(VLOOKUP($D108,Population!$B$5:$Y$174,21,FALSE),0)</f>
        <v>0</v>
      </c>
      <c r="AA108" s="12">
        <f>IFERROR(VLOOKUP($D108,Population!$B$5:$Y$174,22,FALSE),0)</f>
        <v>0</v>
      </c>
      <c r="AB108" s="12">
        <f>IFERROR(VLOOKUP($D108,Population!$B$5:$Y$174,23,FALSE),0)</f>
        <v>0</v>
      </c>
      <c r="AC108" s="12">
        <f>IFERROR(VLOOKUP($D108,Population!$B$5:$Y$174,24,FALSE),0)</f>
        <v>0</v>
      </c>
    </row>
    <row r="109" spans="1:29" ht="15" x14ac:dyDescent="0.25">
      <c r="A109" s="2" t="s">
        <v>20</v>
      </c>
      <c r="B109" s="2" t="s">
        <v>586</v>
      </c>
      <c r="C109" s="2" t="s">
        <v>483</v>
      </c>
      <c r="D109" s="2">
        <v>2978</v>
      </c>
      <c r="E109" s="11">
        <v>2022</v>
      </c>
      <c r="F109" s="12">
        <f>VLOOKUP($D109,'2022Data to Complete Appendix C'!$C$8:$Q$313,2,FALSE)</f>
        <v>7237</v>
      </c>
      <c r="G109" s="12">
        <f>VLOOKUP($D109,'2022Data to Complete Appendix C'!$C$8:$Q$313,3,FALSE)</f>
        <v>3744</v>
      </c>
      <c r="H109" s="12">
        <f>VLOOKUP($D109,'2022Data to Complete Appendix C'!$C$8:$Q$313,4,FALSE)</f>
        <v>0</v>
      </c>
      <c r="I109" s="12">
        <f>VLOOKUP($D109,'2022Data to Complete Appendix C'!$C$8:$Q$313,5,FALSE)</f>
        <v>5116</v>
      </c>
      <c r="J109" s="114">
        <f>VLOOKUP($D109,'2022Data to Complete Appendix C'!$C$8:$Q$313,6,FALSE)</f>
        <v>1.93296</v>
      </c>
      <c r="K109" s="114">
        <f>VLOOKUP($D109,'2022Data to Complete Appendix C'!$C$8:$Q$313,7,FALSE)</f>
        <v>1.95</v>
      </c>
      <c r="L109" s="114">
        <f>VLOOKUP($D109,'2022Data to Complete Appendix C'!$C$8:$Q$313,8,FALSE)</f>
        <v>1.0829800000000001</v>
      </c>
      <c r="M109" s="12">
        <f>VLOOKUP($D109,'2022Data to Complete Appendix C'!$C$8:$Q$313,9,FALSE)</f>
        <v>307.947</v>
      </c>
      <c r="N109" s="114">
        <f>VLOOKUP($D109,'2022Data to Complete Appendix C'!$C$8:$Q$313,10,FALSE)</f>
        <v>7.5999800000000006E-2</v>
      </c>
      <c r="O109" s="115">
        <f>VLOOKUP($D109,'2022Data to Complete Appendix C'!$C$8:$Q$313,11,FALSE)</f>
        <v>0.56699999999999995</v>
      </c>
      <c r="P109" s="115">
        <f>VLOOKUP($D109,'2022Data to Complete Appendix C'!$C$8:$Q$313,12,FALSE)</f>
        <v>0.772675</v>
      </c>
      <c r="Q109" s="115">
        <f>VLOOKUP($D109,'2022Data to Complete Appendix C'!$C$8:$Q$313,13,FALSE)</f>
        <v>0.74399999999999999</v>
      </c>
      <c r="R109" s="114">
        <f>VLOOKUP($D109,'2022Data to Complete Appendix C'!$C$8:$Q$313,14,FALSE)</f>
        <v>2.2999999999999998</v>
      </c>
      <c r="S109" s="115">
        <f>VLOOKUP($D109,'2022Data to Complete Appendix C'!$C$8:$Q$313,15,FALSE)</f>
        <v>0.17255300000000001</v>
      </c>
      <c r="T109" s="12">
        <f>IFERROR(VLOOKUP($D109,'2022LodgingbyWUP'!$A$1:$D$98,4,FALSE),0)</f>
        <v>11</v>
      </c>
      <c r="U109" s="12">
        <f t="shared" si="1"/>
        <v>18.823199999999996</v>
      </c>
      <c r="V109" s="12">
        <f>IFERROR(VLOOKUP($D109,Total_DU!$B$5:$Z$174,22,0),0)</f>
        <v>2740</v>
      </c>
      <c r="W109" s="12">
        <f>IFERROR(VLOOKUP($D109,Total_DU!$B$5:$Z$174,23,0),0)</f>
        <v>2796</v>
      </c>
      <c r="X109" s="12">
        <f>IFERROR(VLOOKUP($D109,Total_DU!$B$5:$Z$174,24,0),0)</f>
        <v>2792</v>
      </c>
      <c r="Y109" s="12">
        <f>IFERROR(VLOOKUP($D109,Total_DU!$B$5:$Z$174,25,0),0)</f>
        <v>2817</v>
      </c>
      <c r="Z109" s="12">
        <f>IFERROR(VLOOKUP($D109,Population!$B$5:$Y$174,21,FALSE),0)</f>
        <v>5342.2392004408157</v>
      </c>
      <c r="AA109" s="12">
        <f>IFERROR(VLOOKUP($D109,Population!$B$5:$Y$174,22,FALSE),0)</f>
        <v>5410</v>
      </c>
      <c r="AB109" s="12">
        <f>IFERROR(VLOOKUP($D109,Population!$B$5:$Y$174,23,FALSE),0)</f>
        <v>5444.3420528156184</v>
      </c>
      <c r="AC109" s="12">
        <f>IFERROR(VLOOKUP($D109,Population!$B$5:$Y$174,24,FALSE),0)</f>
        <v>5489</v>
      </c>
    </row>
    <row r="110" spans="1:29" ht="15" x14ac:dyDescent="0.25">
      <c r="A110" s="11" t="s">
        <v>20</v>
      </c>
      <c r="B110" s="11" t="s">
        <v>587</v>
      </c>
      <c r="C110" s="11" t="s">
        <v>483</v>
      </c>
      <c r="D110" s="11">
        <v>3182</v>
      </c>
      <c r="E110" s="11">
        <v>2022</v>
      </c>
      <c r="F110" s="12">
        <f>VLOOKUP($D110,'2022Data to Complete Appendix C'!$C$8:$Q$313,2,FALSE)</f>
        <v>32594</v>
      </c>
      <c r="G110" s="12">
        <f>VLOOKUP($D110,'2022Data to Complete Appendix C'!$C$8:$Q$313,3,FALSE)</f>
        <v>13536</v>
      </c>
      <c r="H110" s="12">
        <f>VLOOKUP($D110,'2022Data to Complete Appendix C'!$C$8:$Q$313,4,FALSE)</f>
        <v>206</v>
      </c>
      <c r="I110" s="12">
        <f>VLOOKUP($D110,'2022Data to Complete Appendix C'!$C$8:$Q$313,5,FALSE)</f>
        <v>14961</v>
      </c>
      <c r="J110" s="114">
        <f>VLOOKUP($D110,'2022Data to Complete Appendix C'!$C$8:$Q$313,6,FALSE)</f>
        <v>2.40795</v>
      </c>
      <c r="K110" s="114">
        <f>VLOOKUP($D110,'2022Data to Complete Appendix C'!$C$8:$Q$313,7,FALSE)</f>
        <v>1.95</v>
      </c>
      <c r="L110" s="114">
        <f>VLOOKUP($D110,'2022Data to Complete Appendix C'!$C$8:$Q$313,8,FALSE)</f>
        <v>1.08358</v>
      </c>
      <c r="M110" s="12">
        <f>VLOOKUP($D110,'2022Data to Complete Appendix C'!$C$8:$Q$313,9,FALSE)</f>
        <v>1397</v>
      </c>
      <c r="N110" s="114">
        <f>VLOOKUP($D110,'2022Data to Complete Appendix C'!$C$8:$Q$313,10,FALSE)</f>
        <v>9.3550999999999995E-2</v>
      </c>
      <c r="O110" s="115">
        <f>VLOOKUP($D110,'2022Data to Complete Appendix C'!$C$8:$Q$313,11,FALSE)</f>
        <v>0.56699999999999995</v>
      </c>
      <c r="P110" s="115">
        <f>VLOOKUP($D110,'2022Data to Complete Appendix C'!$C$8:$Q$313,12,FALSE)</f>
        <v>0.772675</v>
      </c>
      <c r="Q110" s="115">
        <f>VLOOKUP($D110,'2022Data to Complete Appendix C'!$C$8:$Q$313,13,FALSE)</f>
        <v>0.74399999999999999</v>
      </c>
      <c r="R110" s="114">
        <f>VLOOKUP($D110,'2022Data to Complete Appendix C'!$C$8:$Q$313,14,FALSE)</f>
        <v>2.2999999999999998</v>
      </c>
      <c r="S110" s="115">
        <f>VLOOKUP($D110,'2022Data to Complete Appendix C'!$C$8:$Q$313,15,FALSE)</f>
        <v>-0.39824599999999999</v>
      </c>
      <c r="T110" s="12">
        <f>IFERROR(VLOOKUP($D110,'2022LodgingbyWUP'!$A$1:$D$98,4,FALSE),0)</f>
        <v>15</v>
      </c>
      <c r="U110" s="12">
        <f t="shared" si="1"/>
        <v>25.667999999999999</v>
      </c>
      <c r="V110" s="12">
        <f>IFERROR(VLOOKUP($D110,Total_DU!$B$5:$Z$174,22,0),0)</f>
        <v>13062</v>
      </c>
      <c r="W110" s="12">
        <f>IFERROR(VLOOKUP($D110,Total_DU!$B$5:$Z$174,23,0),0)</f>
        <v>13189</v>
      </c>
      <c r="X110" s="12">
        <f>IFERROR(VLOOKUP($D110,Total_DU!$B$5:$Z$174,24,0),0)</f>
        <v>13262</v>
      </c>
      <c r="Y110" s="12">
        <f>IFERROR(VLOOKUP($D110,Total_DU!$B$5:$Z$174,25,0),0)</f>
        <v>13620</v>
      </c>
      <c r="Z110" s="12">
        <f>IFERROR(VLOOKUP($D110,Population!$B$5:$Y$174,21,FALSE),0)</f>
        <v>30569.74166800073</v>
      </c>
      <c r="AA110" s="12">
        <f>IFERROR(VLOOKUP($D110,Population!$B$5:$Y$174,22,FALSE),0)</f>
        <v>30872.056272525202</v>
      </c>
      <c r="AB110" s="12">
        <f>IFERROR(VLOOKUP($D110,Population!$B$5:$Y$174,23,FALSE),0)</f>
        <v>31042.096868534616</v>
      </c>
      <c r="AC110" s="12">
        <f>IFERROR(VLOOKUP($D110,Population!$B$5:$Y$174,24,FALSE),0)</f>
        <v>31872</v>
      </c>
    </row>
    <row r="111" spans="1:29" ht="15" x14ac:dyDescent="0.25">
      <c r="A111" s="2" t="s">
        <v>20</v>
      </c>
      <c r="B111" s="2" t="s">
        <v>588</v>
      </c>
      <c r="C111" s="2" t="s">
        <v>164</v>
      </c>
      <c r="D111" s="2">
        <v>3528</v>
      </c>
      <c r="E111" s="11">
        <v>2022</v>
      </c>
      <c r="F111" s="12">
        <f>VLOOKUP($D111,'2022Data to Complete Appendix C'!$C$8:$Q$313,2,FALSE)</f>
        <v>816</v>
      </c>
      <c r="G111" s="12">
        <f>VLOOKUP($D111,'2022Data to Complete Appendix C'!$C$8:$Q$313,3,FALSE)</f>
        <v>364</v>
      </c>
      <c r="H111" s="12">
        <f>VLOOKUP($D111,'2022Data to Complete Appendix C'!$C$8:$Q$313,4,FALSE)</f>
        <v>0</v>
      </c>
      <c r="I111" s="12">
        <f>VLOOKUP($D111,'2022Data to Complete Appendix C'!$C$8:$Q$313,5,FALSE)</f>
        <v>438</v>
      </c>
      <c r="J111" s="114">
        <f>VLOOKUP($D111,'2022Data to Complete Appendix C'!$C$8:$Q$313,6,FALSE)</f>
        <v>2.2417600000000002</v>
      </c>
      <c r="K111" s="114">
        <f>VLOOKUP($D111,'2022Data to Complete Appendix C'!$C$8:$Q$313,7,FALSE)</f>
        <v>1.95</v>
      </c>
      <c r="L111" s="114">
        <f>VLOOKUP($D111,'2022Data to Complete Appendix C'!$C$8:$Q$313,8,FALSE)</f>
        <v>1.4805299999999999</v>
      </c>
      <c r="M111" s="12">
        <f>VLOOKUP($D111,'2022Data to Complete Appendix C'!$C$8:$Q$313,9,FALSE)</f>
        <v>201.08199999999999</v>
      </c>
      <c r="N111" s="114">
        <f>VLOOKUP($D111,'2022Data to Complete Appendix C'!$C$8:$Q$313,10,FALSE)</f>
        <v>0.355846</v>
      </c>
      <c r="O111" s="115">
        <f>VLOOKUP($D111,'2022Data to Complete Appendix C'!$C$8:$Q$313,11,FALSE)</f>
        <v>0.56699999999999995</v>
      </c>
      <c r="P111" s="115">
        <f>VLOOKUP($D111,'2022Data to Complete Appendix C'!$C$8:$Q$313,12,FALSE)</f>
        <v>0.772675</v>
      </c>
      <c r="Q111" s="115">
        <f>VLOOKUP($D111,'2022Data to Complete Appendix C'!$C$8:$Q$313,13,FALSE)</f>
        <v>0.74399999999999999</v>
      </c>
      <c r="R111" s="114">
        <f>VLOOKUP($D111,'2022Data to Complete Appendix C'!$C$8:$Q$313,14,FALSE)</f>
        <v>2.2999999999999998</v>
      </c>
      <c r="S111" s="115">
        <f>VLOOKUP($D111,'2022Data to Complete Appendix C'!$C$8:$Q$313,15,FALSE)</f>
        <v>4.7656900000000002E-2</v>
      </c>
      <c r="T111" s="12">
        <f>IFERROR(VLOOKUP($D111,'2022LodgingbyWUP'!$A$1:$D$98,4,FALSE),0)</f>
        <v>0</v>
      </c>
      <c r="U111" s="12">
        <f t="shared" si="1"/>
        <v>0</v>
      </c>
      <c r="V111" s="12">
        <f>IFERROR(VLOOKUP($D111,Total_DU!$B$5:$Z$174,22,0),0)</f>
        <v>0</v>
      </c>
      <c r="W111" s="12">
        <f>IFERROR(VLOOKUP($D111,Total_DU!$B$5:$Z$174,23,0),0)</f>
        <v>0</v>
      </c>
      <c r="X111" s="12">
        <f>IFERROR(VLOOKUP($D111,Total_DU!$B$5:$Z$174,24,0),0)</f>
        <v>0</v>
      </c>
      <c r="Y111" s="12">
        <f>IFERROR(VLOOKUP($D111,Total_DU!$B$5:$Z$174,25,0),0)</f>
        <v>0</v>
      </c>
      <c r="Z111" s="12">
        <f>IFERROR(VLOOKUP($D111,Population!$B$5:$Y$174,21,FALSE),0)</f>
        <v>0</v>
      </c>
      <c r="AA111" s="12">
        <f>IFERROR(VLOOKUP($D111,Population!$B$5:$Y$174,22,FALSE),0)</f>
        <v>0</v>
      </c>
      <c r="AB111" s="12">
        <f>IFERROR(VLOOKUP($D111,Population!$B$5:$Y$174,23,FALSE),0)</f>
        <v>0</v>
      </c>
      <c r="AC111" s="12">
        <f>IFERROR(VLOOKUP($D111,Population!$B$5:$Y$174,24,FALSE),0)</f>
        <v>0</v>
      </c>
    </row>
    <row r="112" spans="1:29" ht="15" x14ac:dyDescent="0.25">
      <c r="A112" s="11" t="s">
        <v>20</v>
      </c>
      <c r="B112" s="11" t="s">
        <v>589</v>
      </c>
      <c r="C112" s="11" t="s">
        <v>482</v>
      </c>
      <c r="D112" s="11">
        <v>3590</v>
      </c>
      <c r="E112" s="11">
        <v>2022</v>
      </c>
      <c r="F112" s="12">
        <f>VLOOKUP($D112,'2022Data to Complete Appendix C'!$C$8:$Q$313,2,FALSE)</f>
        <v>2130</v>
      </c>
      <c r="G112" s="12">
        <f>VLOOKUP($D112,'2022Data to Complete Appendix C'!$C$8:$Q$313,3,FALSE)</f>
        <v>1046</v>
      </c>
      <c r="H112" s="12">
        <f>VLOOKUP($D112,'2022Data to Complete Appendix C'!$C$8:$Q$313,4,FALSE)</f>
        <v>0</v>
      </c>
      <c r="I112" s="12">
        <f>VLOOKUP($D112,'2022Data to Complete Appendix C'!$C$8:$Q$313,5,FALSE)</f>
        <v>1589</v>
      </c>
      <c r="J112" s="114">
        <f>VLOOKUP($D112,'2022Data to Complete Appendix C'!$C$8:$Q$313,6,FALSE)</f>
        <v>2.03633</v>
      </c>
      <c r="K112" s="114">
        <f>VLOOKUP($D112,'2022Data to Complete Appendix C'!$C$8:$Q$313,7,FALSE)</f>
        <v>1.95</v>
      </c>
      <c r="L112" s="114">
        <f>VLOOKUP($D112,'2022Data to Complete Appendix C'!$C$8:$Q$313,8,FALSE)</f>
        <v>1.00709</v>
      </c>
      <c r="M112" s="12">
        <f>VLOOKUP($D112,'2022Data to Complete Appendix C'!$C$8:$Q$313,9,FALSE)</f>
        <v>7.7488299999999999</v>
      </c>
      <c r="N112" s="114">
        <f>VLOOKUP($D112,'2022Data to Complete Appendix C'!$C$8:$Q$313,10,FALSE)</f>
        <v>7.3535800000000002E-3</v>
      </c>
      <c r="O112" s="115">
        <f>VLOOKUP($D112,'2022Data to Complete Appendix C'!$C$8:$Q$313,11,FALSE)</f>
        <v>0.56699999999999995</v>
      </c>
      <c r="P112" s="115">
        <f>VLOOKUP($D112,'2022Data to Complete Appendix C'!$C$8:$Q$313,12,FALSE)</f>
        <v>0.772675</v>
      </c>
      <c r="Q112" s="115">
        <f>VLOOKUP($D112,'2022Data to Complete Appendix C'!$C$8:$Q$313,13,FALSE)</f>
        <v>0.74399999999999999</v>
      </c>
      <c r="R112" s="114">
        <f>VLOOKUP($D112,'2022Data to Complete Appendix C'!$C$8:$Q$313,14,FALSE)</f>
        <v>2.2999999999999998</v>
      </c>
      <c r="S112" s="115">
        <f>VLOOKUP($D112,'2022Data to Complete Appendix C'!$C$8:$Q$313,15,FALSE)</f>
        <v>-0.14807200000000001</v>
      </c>
      <c r="T112" s="12">
        <f>IFERROR(VLOOKUP($D112,'2022LodgingbyWUP'!$A$1:$D$98,4,FALSE),0)</f>
        <v>0</v>
      </c>
      <c r="U112" s="12">
        <f t="shared" si="1"/>
        <v>0</v>
      </c>
      <c r="V112" s="12">
        <f>IFERROR(VLOOKUP($D112,Total_DU!$B$5:$Z$174,22,0),0)</f>
        <v>1856</v>
      </c>
      <c r="W112" s="12">
        <f>IFERROR(VLOOKUP($D112,Total_DU!$B$5:$Z$174,23,0),0)</f>
        <v>1849</v>
      </c>
      <c r="X112" s="12">
        <f>IFERROR(VLOOKUP($D112,Total_DU!$B$5:$Z$174,24,0),0)</f>
        <v>1850</v>
      </c>
      <c r="Y112" s="12">
        <f>IFERROR(VLOOKUP($D112,Total_DU!$B$5:$Z$174,25,0),0)</f>
        <v>1794</v>
      </c>
      <c r="Z112" s="12">
        <f>IFERROR(VLOOKUP($D112,Population!$B$5:$Y$174,21,FALSE),0)</f>
        <v>3772.2046840311195</v>
      </c>
      <c r="AA112" s="12">
        <f>IFERROR(VLOOKUP($D112,Population!$B$5:$Y$174,22,FALSE),0)</f>
        <v>3757.9772272489322</v>
      </c>
      <c r="AB112" s="12">
        <f>IFERROR(VLOOKUP($D112,Population!$B$5:$Y$174,23,FALSE),0)</f>
        <v>3760.0095975658978</v>
      </c>
      <c r="AC112" s="12">
        <f>IFERROR(VLOOKUP($D112,Population!$B$5:$Y$174,24,FALSE),0)</f>
        <v>3646</v>
      </c>
    </row>
    <row r="113" spans="1:29" ht="15" x14ac:dyDescent="0.25">
      <c r="A113" s="2" t="s">
        <v>20</v>
      </c>
      <c r="B113" s="2" t="s">
        <v>590</v>
      </c>
      <c r="C113" s="2" t="s">
        <v>98</v>
      </c>
      <c r="D113" s="2">
        <v>3619</v>
      </c>
      <c r="E113" s="11">
        <v>2022</v>
      </c>
      <c r="F113" s="12">
        <f>VLOOKUP($D113,'2022Data to Complete Appendix C'!$C$8:$Q$313,2,FALSE)</f>
        <v>258</v>
      </c>
      <c r="G113" s="12">
        <f>VLOOKUP($D113,'2022Data to Complete Appendix C'!$C$8:$Q$313,3,FALSE)</f>
        <v>149</v>
      </c>
      <c r="H113" s="12">
        <f>VLOOKUP($D113,'2022Data to Complete Appendix C'!$C$8:$Q$313,4,FALSE)</f>
        <v>0</v>
      </c>
      <c r="I113" s="12">
        <f>VLOOKUP($D113,'2022Data to Complete Appendix C'!$C$8:$Q$313,5,FALSE)</f>
        <v>279</v>
      </c>
      <c r="J113" s="114">
        <f>VLOOKUP($D113,'2022Data to Complete Appendix C'!$C$8:$Q$313,6,FALSE)</f>
        <v>1.7315400000000001</v>
      </c>
      <c r="K113" s="114">
        <f>VLOOKUP($D113,'2022Data to Complete Appendix C'!$C$8:$Q$313,7,FALSE)</f>
        <v>1.95</v>
      </c>
      <c r="L113" s="114">
        <f>VLOOKUP($D113,'2022Data to Complete Appendix C'!$C$8:$Q$313,8,FALSE)</f>
        <v>1.0705499999999999</v>
      </c>
      <c r="M113" s="12">
        <f>VLOOKUP($D113,'2022Data to Complete Appendix C'!$C$8:$Q$313,9,FALSE)</f>
        <v>9.3341799999999999</v>
      </c>
      <c r="N113" s="114">
        <f>VLOOKUP($D113,'2022Data to Complete Appendix C'!$C$8:$Q$313,10,FALSE)</f>
        <v>5.8952400000000002E-2</v>
      </c>
      <c r="O113" s="115">
        <f>VLOOKUP($D113,'2022Data to Complete Appendix C'!$C$8:$Q$313,11,FALSE)</f>
        <v>0.56699999999999995</v>
      </c>
      <c r="P113" s="115">
        <f>VLOOKUP($D113,'2022Data to Complete Appendix C'!$C$8:$Q$313,12,FALSE)</f>
        <v>0.772675</v>
      </c>
      <c r="Q113" s="115">
        <f>VLOOKUP($D113,'2022Data to Complete Appendix C'!$C$8:$Q$313,13,FALSE)</f>
        <v>0.74399999999999999</v>
      </c>
      <c r="R113" s="114">
        <f>VLOOKUP($D113,'2022Data to Complete Appendix C'!$C$8:$Q$313,14,FALSE)</f>
        <v>2.2999999999999998</v>
      </c>
      <c r="S113" s="115">
        <f>VLOOKUP($D113,'2022Data to Complete Appendix C'!$C$8:$Q$313,15,FALSE)</f>
        <v>-0.105003</v>
      </c>
      <c r="T113" s="12">
        <f>IFERROR(VLOOKUP($D113,'2022LodgingbyWUP'!$A$1:$D$98,4,FALSE),0)</f>
        <v>0</v>
      </c>
      <c r="U113" s="12">
        <f t="shared" si="1"/>
        <v>0</v>
      </c>
      <c r="V113" s="12">
        <f>IFERROR(VLOOKUP($D113,Total_DU!$B$5:$Z$174,22,0),0)</f>
        <v>0</v>
      </c>
      <c r="W113" s="12">
        <f>IFERROR(VLOOKUP($D113,Total_DU!$B$5:$Z$174,23,0),0)</f>
        <v>0</v>
      </c>
      <c r="X113" s="12">
        <f>IFERROR(VLOOKUP($D113,Total_DU!$B$5:$Z$174,24,0),0)</f>
        <v>0</v>
      </c>
      <c r="Y113" s="12">
        <f>IFERROR(VLOOKUP($D113,Total_DU!$B$5:$Z$174,25,0),0)</f>
        <v>0</v>
      </c>
      <c r="Z113" s="12">
        <f>IFERROR(VLOOKUP($D113,Population!$B$5:$Y$174,21,FALSE),0)</f>
        <v>0</v>
      </c>
      <c r="AA113" s="12">
        <f>IFERROR(VLOOKUP($D113,Population!$B$5:$Y$174,22,FALSE),0)</f>
        <v>0</v>
      </c>
      <c r="AB113" s="12">
        <f>IFERROR(VLOOKUP($D113,Population!$B$5:$Y$174,23,FALSE),0)</f>
        <v>0</v>
      </c>
      <c r="AC113" s="12">
        <f>IFERROR(VLOOKUP($D113,Population!$B$5:$Y$174,24,FALSE),0)</f>
        <v>0</v>
      </c>
    </row>
    <row r="114" spans="1:29" ht="15" x14ac:dyDescent="0.25">
      <c r="A114" s="2" t="s">
        <v>20</v>
      </c>
      <c r="B114" s="2" t="s">
        <v>591</v>
      </c>
      <c r="C114" s="2" t="s">
        <v>483</v>
      </c>
      <c r="D114" s="2">
        <v>3677</v>
      </c>
      <c r="E114" s="11">
        <v>2022</v>
      </c>
      <c r="F114" s="12">
        <f>VLOOKUP($D114,'2022Data to Complete Appendix C'!$C$8:$Q$313,2,FALSE)</f>
        <v>1864</v>
      </c>
      <c r="G114" s="12">
        <f>VLOOKUP($D114,'2022Data to Complete Appendix C'!$C$8:$Q$313,3,FALSE)</f>
        <v>831</v>
      </c>
      <c r="H114" s="12">
        <f>VLOOKUP($D114,'2022Data to Complete Appendix C'!$C$8:$Q$313,4,FALSE)</f>
        <v>103</v>
      </c>
      <c r="I114" s="12">
        <f>VLOOKUP($D114,'2022Data to Complete Appendix C'!$C$8:$Q$313,5,FALSE)</f>
        <v>1020</v>
      </c>
      <c r="J114" s="114">
        <f>VLOOKUP($D114,'2022Data to Complete Appendix C'!$C$8:$Q$313,6,FALSE)</f>
        <v>2.24308</v>
      </c>
      <c r="K114" s="114">
        <f>VLOOKUP($D114,'2022Data to Complete Appendix C'!$C$8:$Q$313,7,FALSE)</f>
        <v>1.95</v>
      </c>
      <c r="L114" s="114">
        <f>VLOOKUP($D114,'2022Data to Complete Appendix C'!$C$8:$Q$313,8,FALSE)</f>
        <v>1.11652</v>
      </c>
      <c r="M114" s="12">
        <f>VLOOKUP($D114,'2022Data to Complete Appendix C'!$C$8:$Q$313,9,FALSE)</f>
        <v>111.379</v>
      </c>
      <c r="N114" s="114">
        <f>VLOOKUP($D114,'2022Data to Complete Appendix C'!$C$8:$Q$313,10,FALSE)</f>
        <v>0.118189</v>
      </c>
      <c r="O114" s="115">
        <f>VLOOKUP($D114,'2022Data to Complete Appendix C'!$C$8:$Q$313,11,FALSE)</f>
        <v>0.56699999999999995</v>
      </c>
      <c r="P114" s="115">
        <f>VLOOKUP($D114,'2022Data to Complete Appendix C'!$C$8:$Q$313,12,FALSE)</f>
        <v>0.772675</v>
      </c>
      <c r="Q114" s="115">
        <f>VLOOKUP($D114,'2022Data to Complete Appendix C'!$C$8:$Q$313,13,FALSE)</f>
        <v>0.74399999999999999</v>
      </c>
      <c r="R114" s="114">
        <f>VLOOKUP($D114,'2022Data to Complete Appendix C'!$C$8:$Q$313,14,FALSE)</f>
        <v>2.2999999999999998</v>
      </c>
      <c r="S114" s="115">
        <f>VLOOKUP($D114,'2022Data to Complete Appendix C'!$C$8:$Q$313,15,FALSE)</f>
        <v>-0.25103399999999998</v>
      </c>
      <c r="T114" s="12">
        <f>IFERROR(VLOOKUP($D114,'2022LodgingbyWUP'!$A$1:$D$98,4,FALSE),0)</f>
        <v>0</v>
      </c>
      <c r="U114" s="12">
        <f t="shared" si="1"/>
        <v>0</v>
      </c>
      <c r="V114" s="12">
        <f>IFERROR(VLOOKUP($D114,Total_DU!$B$5:$Z$174,22,0),0)</f>
        <v>714</v>
      </c>
      <c r="W114" s="12" t="str">
        <f>IFERROR(VLOOKUP($D114,Total_DU!$B$5:$Z$174,23,0),0)</f>
        <v>NA</v>
      </c>
      <c r="X114" s="12" t="str">
        <f>IFERROR(VLOOKUP($D114,Total_DU!$B$5:$Z$174,24,0),0)</f>
        <v>NA</v>
      </c>
      <c r="Y114" s="12" t="str">
        <f>IFERROR(VLOOKUP($D114,Total_DU!$B$5:$Z$174,25,0),0)</f>
        <v>NA</v>
      </c>
      <c r="Z114" s="12">
        <f>IFERROR(VLOOKUP($D114,Population!$B$5:$Y$174,21,FALSE),0)</f>
        <v>1611.5185804649575</v>
      </c>
      <c r="AA114" s="12" t="str">
        <f>IFERROR(VLOOKUP($D114,Population!$B$5:$Y$174,22,FALSE),0)</f>
        <v>NA</v>
      </c>
      <c r="AB114" s="12" t="str">
        <f>IFERROR(VLOOKUP($D114,Population!$B$5:$Y$174,23,FALSE),0)</f>
        <v>NA</v>
      </c>
      <c r="AC114" s="12" t="str">
        <f>IFERROR(VLOOKUP($D114,Population!$B$5:$Y$174,24,FALSE),0)</f>
        <v>NA</v>
      </c>
    </row>
    <row r="115" spans="1:29" ht="15" x14ac:dyDescent="0.25">
      <c r="A115" s="11" t="s">
        <v>20</v>
      </c>
      <c r="B115" s="11" t="s">
        <v>592</v>
      </c>
      <c r="C115" s="11" t="s">
        <v>80</v>
      </c>
      <c r="D115" s="11">
        <v>3692</v>
      </c>
      <c r="E115" s="11">
        <v>2022</v>
      </c>
      <c r="F115" s="12">
        <f>VLOOKUP($D115,'2022Data to Complete Appendix C'!$C$8:$Q$313,2,FALSE)</f>
        <v>8819</v>
      </c>
      <c r="G115" s="12">
        <f>VLOOKUP($D115,'2022Data to Complete Appendix C'!$C$8:$Q$313,3,FALSE)</f>
        <v>4128</v>
      </c>
      <c r="H115" s="12">
        <f>VLOOKUP($D115,'2022Data to Complete Appendix C'!$C$8:$Q$313,4,FALSE)</f>
        <v>113</v>
      </c>
      <c r="I115" s="12">
        <f>VLOOKUP($D115,'2022Data to Complete Appendix C'!$C$8:$Q$313,5,FALSE)</f>
        <v>5534</v>
      </c>
      <c r="J115" s="114">
        <f>VLOOKUP($D115,'2022Data to Complete Appendix C'!$C$8:$Q$313,6,FALSE)</f>
        <v>2.13639</v>
      </c>
      <c r="K115" s="114">
        <f>VLOOKUP($D115,'2022Data to Complete Appendix C'!$C$8:$Q$313,7,FALSE)</f>
        <v>1.95</v>
      </c>
      <c r="L115" s="114">
        <f>VLOOKUP($D115,'2022Data to Complete Appendix C'!$C$8:$Q$313,8,FALSE)</f>
        <v>1.0819099999999999</v>
      </c>
      <c r="M115" s="12">
        <f>VLOOKUP($D115,'2022Data to Complete Appendix C'!$C$8:$Q$313,9,FALSE)</f>
        <v>370.452</v>
      </c>
      <c r="N115" s="114">
        <f>VLOOKUP($D115,'2022Data to Complete Appendix C'!$C$8:$Q$313,10,FALSE)</f>
        <v>8.2351099999999997E-2</v>
      </c>
      <c r="O115" s="115">
        <f>VLOOKUP($D115,'2022Data to Complete Appendix C'!$C$8:$Q$313,11,FALSE)</f>
        <v>0.56699999999999995</v>
      </c>
      <c r="P115" s="115">
        <f>VLOOKUP($D115,'2022Data to Complete Appendix C'!$C$8:$Q$313,12,FALSE)</f>
        <v>0.772675</v>
      </c>
      <c r="Q115" s="115">
        <f>VLOOKUP($D115,'2022Data to Complete Appendix C'!$C$8:$Q$313,13,FALSE)</f>
        <v>0.74399999999999999</v>
      </c>
      <c r="R115" s="114">
        <f>VLOOKUP($D115,'2022Data to Complete Appendix C'!$C$8:$Q$313,14,FALSE)</f>
        <v>2.2999999999999998</v>
      </c>
      <c r="S115" s="115">
        <f>VLOOKUP($D115,'2022Data to Complete Appendix C'!$C$8:$Q$313,15,FALSE)</f>
        <v>0.65345200000000003</v>
      </c>
      <c r="T115" s="12">
        <f>IFERROR(VLOOKUP($D115,'2022LodgingbyWUP'!$A$1:$D$98,4,FALSE),0)</f>
        <v>417</v>
      </c>
      <c r="U115" s="12">
        <f t="shared" si="1"/>
        <v>713.57039999999995</v>
      </c>
      <c r="V115" s="12">
        <f>IFERROR(VLOOKUP($D115,Total_DU!$B$5:$Z$174,22,0),0)</f>
        <v>3144</v>
      </c>
      <c r="W115" s="12">
        <f>IFERROR(VLOOKUP($D115,Total_DU!$B$5:$Z$174,23,0),0)</f>
        <v>3144</v>
      </c>
      <c r="X115" s="12">
        <f>IFERROR(VLOOKUP($D115,Total_DU!$B$5:$Z$174,24,0),0)</f>
        <v>3144</v>
      </c>
      <c r="Y115" s="12">
        <f>IFERROR(VLOOKUP($D115,Total_DU!$B$5:$Z$174,25,0),0)</f>
        <v>3144</v>
      </c>
      <c r="Z115" s="12">
        <f>IFERROR(VLOOKUP($D115,Population!$B$5:$Y$174,21,FALSE),0)</f>
        <v>7704.4747504649695</v>
      </c>
      <c r="AA115" s="12">
        <f>IFERROR(VLOOKUP($D115,Population!$B$5:$Y$174,22,FALSE),0)</f>
        <v>7738.717844485991</v>
      </c>
      <c r="AB115" s="12">
        <f>IFERROR(VLOOKUP($D115,Population!$B$5:$Y$174,23,FALSE),0)</f>
        <v>7732</v>
      </c>
      <c r="AC115" s="12">
        <f>IFERROR(VLOOKUP($D115,Population!$B$5:$Y$174,24,FALSE),0)</f>
        <v>7626</v>
      </c>
    </row>
    <row r="116" spans="1:29" ht="15" x14ac:dyDescent="0.25">
      <c r="A116" s="2" t="s">
        <v>20</v>
      </c>
      <c r="B116" s="2" t="s">
        <v>593</v>
      </c>
      <c r="C116" s="2" t="s">
        <v>479</v>
      </c>
      <c r="D116" s="2">
        <v>3759</v>
      </c>
      <c r="E116" s="11">
        <v>2022</v>
      </c>
      <c r="F116" s="12">
        <f>VLOOKUP($D116,'2022Data to Complete Appendix C'!$C$8:$Q$313,2,FALSE)</f>
        <v>3622</v>
      </c>
      <c r="G116" s="12">
        <f>VLOOKUP($D116,'2022Data to Complete Appendix C'!$C$8:$Q$313,3,FALSE)</f>
        <v>1503</v>
      </c>
      <c r="H116" s="12">
        <f>VLOOKUP($D116,'2022Data to Complete Appendix C'!$C$8:$Q$313,4,FALSE)</f>
        <v>0</v>
      </c>
      <c r="I116" s="12">
        <f>VLOOKUP($D116,'2022Data to Complete Appendix C'!$C$8:$Q$313,5,FALSE)</f>
        <v>1808</v>
      </c>
      <c r="J116" s="114">
        <f>VLOOKUP($D116,'2022Data to Complete Appendix C'!$C$8:$Q$313,6,FALSE)</f>
        <v>2.40985</v>
      </c>
      <c r="K116" s="114">
        <f>VLOOKUP($D116,'2022Data to Complete Appendix C'!$C$8:$Q$313,7,FALSE)</f>
        <v>1.95</v>
      </c>
      <c r="L116" s="114">
        <f>VLOOKUP($D116,'2022Data to Complete Appendix C'!$C$8:$Q$313,8,FALSE)</f>
        <v>1.0828</v>
      </c>
      <c r="M116" s="12">
        <f>VLOOKUP($D116,'2022Data to Complete Appendix C'!$C$8:$Q$313,9,FALSE)</f>
        <v>153.792</v>
      </c>
      <c r="N116" s="114">
        <f>VLOOKUP($D116,'2022Data to Complete Appendix C'!$C$8:$Q$313,10,FALSE)</f>
        <v>9.2825199999999997E-2</v>
      </c>
      <c r="O116" s="115">
        <f>VLOOKUP($D116,'2022Data to Complete Appendix C'!$C$8:$Q$313,11,FALSE)</f>
        <v>0.56699999999999995</v>
      </c>
      <c r="P116" s="115">
        <f>VLOOKUP($D116,'2022Data to Complete Appendix C'!$C$8:$Q$313,12,FALSE)</f>
        <v>0.772675</v>
      </c>
      <c r="Q116" s="115">
        <f>VLOOKUP($D116,'2022Data to Complete Appendix C'!$C$8:$Q$313,13,FALSE)</f>
        <v>0.74399999999999999</v>
      </c>
      <c r="R116" s="114">
        <f>VLOOKUP($D116,'2022Data to Complete Appendix C'!$C$8:$Q$313,14,FALSE)</f>
        <v>2.2999999999999998</v>
      </c>
      <c r="S116" s="115">
        <f>VLOOKUP($D116,'2022Data to Complete Appendix C'!$C$8:$Q$313,15,FALSE)</f>
        <v>-0.39261600000000002</v>
      </c>
      <c r="T116" s="12">
        <f>IFERROR(VLOOKUP($D116,'2022LodgingbyWUP'!$A$1:$D$98,4,FALSE),0)</f>
        <v>0</v>
      </c>
      <c r="U116" s="12">
        <f t="shared" si="1"/>
        <v>0</v>
      </c>
      <c r="V116" s="12" t="str">
        <f>IFERROR(VLOOKUP($D116,Total_DU!$B$5:$Z$174,22,0),0)</f>
        <v>NA</v>
      </c>
      <c r="W116" s="12" t="str">
        <f>IFERROR(VLOOKUP($D116,Total_DU!$B$5:$Z$174,23,0),0)</f>
        <v>NA</v>
      </c>
      <c r="X116" s="12" t="str">
        <f>IFERROR(VLOOKUP($D116,Total_DU!$B$5:$Z$174,24,0),0)</f>
        <v>NA</v>
      </c>
      <c r="Y116" s="12" t="str">
        <f>IFERROR(VLOOKUP($D116,Total_DU!$B$5:$Z$174,25,0),0)</f>
        <v>NA</v>
      </c>
      <c r="Z116" s="12" t="str">
        <f>IFERROR(VLOOKUP($D116,Population!$B$5:$Y$174,21,FALSE),0)</f>
        <v>NA</v>
      </c>
      <c r="AA116" s="12" t="str">
        <f>IFERROR(VLOOKUP($D116,Population!$B$5:$Y$174,22,FALSE),0)</f>
        <v>NA</v>
      </c>
      <c r="AB116" s="12" t="str">
        <f>IFERROR(VLOOKUP($D116,Population!$B$5:$Y$174,23,FALSE),0)</f>
        <v>NA</v>
      </c>
      <c r="AC116" s="12" t="str">
        <f>IFERROR(VLOOKUP($D116,Population!$B$5:$Y$174,24,FALSE),0)</f>
        <v>NA</v>
      </c>
    </row>
    <row r="117" spans="1:29" ht="15" x14ac:dyDescent="0.25">
      <c r="A117" s="11" t="s">
        <v>20</v>
      </c>
      <c r="B117" s="11" t="s">
        <v>594</v>
      </c>
      <c r="C117" s="11" t="s">
        <v>83</v>
      </c>
      <c r="D117" s="11">
        <v>4550</v>
      </c>
      <c r="E117" s="11">
        <v>2022</v>
      </c>
      <c r="F117" s="12">
        <f>VLOOKUP($D117,'2022Data to Complete Appendix C'!$C$8:$Q$313,2,FALSE)</f>
        <v>1872</v>
      </c>
      <c r="G117" s="12">
        <f>VLOOKUP($D117,'2022Data to Complete Appendix C'!$C$8:$Q$313,3,FALSE)</f>
        <v>730</v>
      </c>
      <c r="H117" s="12">
        <f>VLOOKUP($D117,'2022Data to Complete Appendix C'!$C$8:$Q$313,4,FALSE)</f>
        <v>1021</v>
      </c>
      <c r="I117" s="12">
        <f>VLOOKUP($D117,'2022Data to Complete Appendix C'!$C$8:$Q$313,5,FALSE)</f>
        <v>812</v>
      </c>
      <c r="J117" s="114">
        <f>VLOOKUP($D117,'2022Data to Complete Appendix C'!$C$8:$Q$313,6,FALSE)</f>
        <v>2.5643799999999999</v>
      </c>
      <c r="K117" s="114">
        <f>VLOOKUP($D117,'2022Data to Complete Appendix C'!$C$8:$Q$313,7,FALSE)</f>
        <v>1.95</v>
      </c>
      <c r="L117" s="114">
        <f>VLOOKUP($D117,'2022Data to Complete Appendix C'!$C$8:$Q$313,8,FALSE)</f>
        <v>1.15425</v>
      </c>
      <c r="M117" s="12">
        <f>VLOOKUP($D117,'2022Data to Complete Appendix C'!$C$8:$Q$313,9,FALSE)</f>
        <v>148.083</v>
      </c>
      <c r="N117" s="114">
        <f>VLOOKUP($D117,'2022Data to Complete Appendix C'!$C$8:$Q$313,10,FALSE)</f>
        <v>0.16864299999999999</v>
      </c>
      <c r="O117" s="115">
        <f>VLOOKUP($D117,'2022Data to Complete Appendix C'!$C$8:$Q$313,11,FALSE)</f>
        <v>0.56699999999999995</v>
      </c>
      <c r="P117" s="115">
        <f>VLOOKUP($D117,'2022Data to Complete Appendix C'!$C$8:$Q$313,12,FALSE)</f>
        <v>0.772675</v>
      </c>
      <c r="Q117" s="115">
        <f>VLOOKUP($D117,'2022Data to Complete Appendix C'!$C$8:$Q$313,13,FALSE)</f>
        <v>0.74399999999999999</v>
      </c>
      <c r="R117" s="114">
        <f>VLOOKUP($D117,'2022Data to Complete Appendix C'!$C$8:$Q$313,14,FALSE)</f>
        <v>2.2999999999999998</v>
      </c>
      <c r="S117" s="115">
        <f>VLOOKUP($D117,'2022Data to Complete Appendix C'!$C$8:$Q$313,15,FALSE)</f>
        <v>2.5097600000000001E-2</v>
      </c>
      <c r="T117" s="12">
        <f>IFERROR(VLOOKUP($D117,'2022LodgingbyWUP'!$A$1:$D$98,4,FALSE),0)</f>
        <v>0</v>
      </c>
      <c r="U117" s="12">
        <f t="shared" si="1"/>
        <v>0</v>
      </c>
      <c r="V117" s="12">
        <f>IFERROR(VLOOKUP($D117,Total_DU!$B$5:$Z$174,22,0),0)</f>
        <v>623</v>
      </c>
      <c r="W117" s="12">
        <f>IFERROR(VLOOKUP($D117,Total_DU!$B$5:$Z$174,23,0),0)</f>
        <v>645</v>
      </c>
      <c r="X117" s="12">
        <f>IFERROR(VLOOKUP($D117,Total_DU!$B$5:$Z$174,24,0),0)</f>
        <v>654</v>
      </c>
      <c r="Y117" s="12">
        <f>IFERROR(VLOOKUP($D117,Total_DU!$B$5:$Z$174,25,0),0)</f>
        <v>686</v>
      </c>
      <c r="Z117" s="12">
        <f>IFERROR(VLOOKUP($D117,Population!$B$5:$Y$174,21,FALSE),0)</f>
        <v>2353.8601365279774</v>
      </c>
      <c r="AA117" s="12">
        <f>IFERROR(VLOOKUP($D117,Population!$B$5:$Y$174,22,FALSE),0)</f>
        <v>2421.4521931346285</v>
      </c>
      <c r="AB117" s="12">
        <f>IFERROR(VLOOKUP($D117,Population!$B$5:$Y$174,23,FALSE),0)</f>
        <v>2455.2399104622136</v>
      </c>
      <c r="AC117" s="12">
        <f>IFERROR(VLOOKUP($D117,Population!$B$5:$Y$174,24,FALSE),0)</f>
        <v>2503</v>
      </c>
    </row>
    <row r="118" spans="1:29" ht="15" x14ac:dyDescent="0.25">
      <c r="A118" s="2" t="s">
        <v>20</v>
      </c>
      <c r="B118" s="2" t="s">
        <v>595</v>
      </c>
      <c r="C118" s="2" t="s">
        <v>482</v>
      </c>
      <c r="D118" s="2">
        <v>4668</v>
      </c>
      <c r="E118" s="11">
        <v>2022</v>
      </c>
      <c r="F118" s="12">
        <f>VLOOKUP($D118,'2022Data to Complete Appendix C'!$C$8:$Q$313,2,FALSE)</f>
        <v>1540</v>
      </c>
      <c r="G118" s="12">
        <f>VLOOKUP($D118,'2022Data to Complete Appendix C'!$C$8:$Q$313,3,FALSE)</f>
        <v>642</v>
      </c>
      <c r="H118" s="12">
        <f>VLOOKUP($D118,'2022Data to Complete Appendix C'!$C$8:$Q$313,4,FALSE)</f>
        <v>4</v>
      </c>
      <c r="I118" s="12">
        <f>VLOOKUP($D118,'2022Data to Complete Appendix C'!$C$8:$Q$313,5,FALSE)</f>
        <v>767</v>
      </c>
      <c r="J118" s="114">
        <f>VLOOKUP($D118,'2022Data to Complete Appendix C'!$C$8:$Q$313,6,FALSE)</f>
        <v>2.3987500000000002</v>
      </c>
      <c r="K118" s="114">
        <f>VLOOKUP($D118,'2022Data to Complete Appendix C'!$C$8:$Q$313,7,FALSE)</f>
        <v>1.95</v>
      </c>
      <c r="L118" s="114">
        <f>VLOOKUP($D118,'2022Data to Complete Appendix C'!$C$8:$Q$313,8,FALSE)</f>
        <v>1.14455</v>
      </c>
      <c r="M118" s="12">
        <f>VLOOKUP($D118,'2022Data to Complete Appendix C'!$C$8:$Q$313,9,FALSE)</f>
        <v>114.157</v>
      </c>
      <c r="N118" s="114">
        <f>VLOOKUP($D118,'2022Data to Complete Appendix C'!$C$8:$Q$313,10,FALSE)</f>
        <v>0.15096999999999999</v>
      </c>
      <c r="O118" s="115">
        <f>VLOOKUP($D118,'2022Data to Complete Appendix C'!$C$8:$Q$313,11,FALSE)</f>
        <v>0.56699999999999995</v>
      </c>
      <c r="P118" s="115">
        <f>VLOOKUP($D118,'2022Data to Complete Appendix C'!$C$8:$Q$313,12,FALSE)</f>
        <v>0.772675</v>
      </c>
      <c r="Q118" s="115">
        <f>VLOOKUP($D118,'2022Data to Complete Appendix C'!$C$8:$Q$313,13,FALSE)</f>
        <v>0.74399999999999999</v>
      </c>
      <c r="R118" s="114">
        <f>VLOOKUP($D118,'2022Data to Complete Appendix C'!$C$8:$Q$313,14,FALSE)</f>
        <v>2.2999999999999998</v>
      </c>
      <c r="S118" s="115">
        <f>VLOOKUP($D118,'2022Data to Complete Appendix C'!$C$8:$Q$313,15,FALSE)</f>
        <v>-0.427481</v>
      </c>
      <c r="T118" s="12">
        <f>IFERROR(VLOOKUP($D118,'2022LodgingbyWUP'!$A$1:$D$98,4,FALSE),0)</f>
        <v>0</v>
      </c>
      <c r="U118" s="12">
        <f t="shared" si="1"/>
        <v>0</v>
      </c>
      <c r="V118" s="12" t="str">
        <f>IFERROR(VLOOKUP($D118,Total_DU!$B$5:$Z$174,22,0),0)</f>
        <v>NA</v>
      </c>
      <c r="W118" s="12" t="str">
        <f>IFERROR(VLOOKUP($D118,Total_DU!$B$5:$Z$174,23,0),0)</f>
        <v>NA</v>
      </c>
      <c r="X118" s="12" t="str">
        <f>IFERROR(VLOOKUP($D118,Total_DU!$B$5:$Z$174,24,0),0)</f>
        <v>NA</v>
      </c>
      <c r="Y118" s="12" t="str">
        <f>IFERROR(VLOOKUP($D118,Total_DU!$B$5:$Z$174,25,0),0)</f>
        <v>NA</v>
      </c>
      <c r="Z118" s="12" t="str">
        <f>IFERROR(VLOOKUP($D118,Population!$B$5:$Y$174,21,FALSE),0)</f>
        <v>NA</v>
      </c>
      <c r="AA118" s="12" t="str">
        <f>IFERROR(VLOOKUP($D118,Population!$B$5:$Y$174,22,FALSE),0)</f>
        <v>NA</v>
      </c>
      <c r="AB118" s="12" t="str">
        <f>IFERROR(VLOOKUP($D118,Population!$B$5:$Y$174,23,FALSE),0)</f>
        <v>NA</v>
      </c>
      <c r="AC118" s="12" t="str">
        <f>IFERROR(VLOOKUP($D118,Population!$B$5:$Y$174,24,FALSE),0)</f>
        <v>NA</v>
      </c>
    </row>
    <row r="119" spans="1:29" ht="15" x14ac:dyDescent="0.25">
      <c r="A119" s="11" t="s">
        <v>20</v>
      </c>
      <c r="B119" s="11" t="s">
        <v>596</v>
      </c>
      <c r="C119" s="11" t="s">
        <v>115</v>
      </c>
      <c r="D119" s="11">
        <v>4669</v>
      </c>
      <c r="E119" s="11">
        <v>2022</v>
      </c>
      <c r="F119" s="12">
        <f>VLOOKUP($D119,'2022Data to Complete Appendix C'!$C$8:$Q$313,2,FALSE)</f>
        <v>9282</v>
      </c>
      <c r="G119" s="12">
        <f>VLOOKUP($D119,'2022Data to Complete Appendix C'!$C$8:$Q$313,3,FALSE)</f>
        <v>4505</v>
      </c>
      <c r="H119" s="12">
        <f>VLOOKUP($D119,'2022Data to Complete Appendix C'!$C$8:$Q$313,4,FALSE)</f>
        <v>158</v>
      </c>
      <c r="I119" s="12">
        <f>VLOOKUP($D119,'2022Data to Complete Appendix C'!$C$8:$Q$313,5,FALSE)</f>
        <v>6290</v>
      </c>
      <c r="J119" s="114">
        <f>VLOOKUP($D119,'2022Data to Complete Appendix C'!$C$8:$Q$313,6,FALSE)</f>
        <v>2.0603799999999999</v>
      </c>
      <c r="K119" s="114">
        <f>VLOOKUP($D119,'2022Data to Complete Appendix C'!$C$8:$Q$313,7,FALSE)</f>
        <v>1.95</v>
      </c>
      <c r="L119" s="114">
        <f>VLOOKUP($D119,'2022Data to Complete Appendix C'!$C$8:$Q$313,8,FALSE)</f>
        <v>1.0418700000000001</v>
      </c>
      <c r="M119" s="12">
        <f>VLOOKUP($D119,'2022Data to Complete Appendix C'!$C$8:$Q$313,9,FALSE)</f>
        <v>199.27699999999999</v>
      </c>
      <c r="N119" s="114">
        <f>VLOOKUP($D119,'2022Data to Complete Appendix C'!$C$8:$Q$313,10,FALSE)</f>
        <v>4.23609E-2</v>
      </c>
      <c r="O119" s="115">
        <f>VLOOKUP($D119,'2022Data to Complete Appendix C'!$C$8:$Q$313,11,FALSE)</f>
        <v>0.56699999999999995</v>
      </c>
      <c r="P119" s="115">
        <f>VLOOKUP($D119,'2022Data to Complete Appendix C'!$C$8:$Q$313,12,FALSE)</f>
        <v>0.772675</v>
      </c>
      <c r="Q119" s="115">
        <f>VLOOKUP($D119,'2022Data to Complete Appendix C'!$C$8:$Q$313,13,FALSE)</f>
        <v>0.74399999999999999</v>
      </c>
      <c r="R119" s="114">
        <f>VLOOKUP($D119,'2022Data to Complete Appendix C'!$C$8:$Q$313,14,FALSE)</f>
        <v>2.2999999999999998</v>
      </c>
      <c r="S119" s="115">
        <f>VLOOKUP($D119,'2022Data to Complete Appendix C'!$C$8:$Q$313,15,FALSE)</f>
        <v>-8.1132499999999996E-2</v>
      </c>
      <c r="T119" s="12">
        <f>IFERROR(VLOOKUP($D119,'2022LodgingbyWUP'!$A$1:$D$98,4,FALSE),0)</f>
        <v>82</v>
      </c>
      <c r="U119" s="12">
        <f t="shared" si="1"/>
        <v>140.3184</v>
      </c>
      <c r="V119" s="12">
        <f>IFERROR(VLOOKUP($D119,Total_DU!$B$5:$Z$174,22,0),0)</f>
        <v>3419</v>
      </c>
      <c r="W119" s="12">
        <f>IFERROR(VLOOKUP($D119,Total_DU!$B$5:$Z$174,23,0),0)</f>
        <v>3372</v>
      </c>
      <c r="X119" s="12">
        <f>IFERROR(VLOOKUP($D119,Total_DU!$B$5:$Z$174,24,0),0)</f>
        <v>3469</v>
      </c>
      <c r="Y119" s="12">
        <f>IFERROR(VLOOKUP($D119,Total_DU!$B$5:$Z$174,25,0),0)</f>
        <v>3422</v>
      </c>
      <c r="Z119" s="12">
        <f>IFERROR(VLOOKUP($D119,Population!$B$5:$Y$174,21,FALSE),0)</f>
        <v>7148.1098442490957</v>
      </c>
      <c r="AA119" s="12">
        <f>IFERROR(VLOOKUP($D119,Population!$B$5:$Y$174,22,FALSE),0)</f>
        <v>7047</v>
      </c>
      <c r="AB119" s="12">
        <f>IFERROR(VLOOKUP($D119,Population!$B$5:$Y$174,23,FALSE),0)</f>
        <v>7277.3001241078655</v>
      </c>
      <c r="AC119" s="12">
        <f>IFERROR(VLOOKUP($D119,Population!$B$5:$Y$174,24,FALSE),0)</f>
        <v>7169</v>
      </c>
    </row>
    <row r="120" spans="1:29" ht="15" x14ac:dyDescent="0.25">
      <c r="A120" s="2" t="s">
        <v>20</v>
      </c>
      <c r="B120" s="2" t="s">
        <v>597</v>
      </c>
      <c r="C120" s="2" t="s">
        <v>3</v>
      </c>
      <c r="D120" s="2">
        <v>4734</v>
      </c>
      <c r="E120" s="11">
        <v>2022</v>
      </c>
      <c r="F120" s="12">
        <f>VLOOKUP($D120,'2022Data to Complete Appendix C'!$C$8:$Q$313,2,FALSE)</f>
        <v>32607</v>
      </c>
      <c r="G120" s="12">
        <f>VLOOKUP($D120,'2022Data to Complete Appendix C'!$C$8:$Q$313,3,FALSE)</f>
        <v>15294</v>
      </c>
      <c r="H120" s="12">
        <f>VLOOKUP($D120,'2022Data to Complete Appendix C'!$C$8:$Q$313,4,FALSE)</f>
        <v>620</v>
      </c>
      <c r="I120" s="12">
        <f>VLOOKUP($D120,'2022Data to Complete Appendix C'!$C$8:$Q$313,5,FALSE)</f>
        <v>18961</v>
      </c>
      <c r="J120" s="114">
        <f>VLOOKUP($D120,'2022Data to Complete Appendix C'!$C$8:$Q$313,6,FALSE)</f>
        <v>2.1320100000000002</v>
      </c>
      <c r="K120" s="114">
        <f>VLOOKUP($D120,'2022Data to Complete Appendix C'!$C$8:$Q$313,7,FALSE)</f>
        <v>1.95</v>
      </c>
      <c r="L120" s="114">
        <f>VLOOKUP($D120,'2022Data to Complete Appendix C'!$C$8:$Q$313,8,FALSE)</f>
        <v>1.07108</v>
      </c>
      <c r="M120" s="12">
        <f>VLOOKUP($D120,'2022Data to Complete Appendix C'!$C$8:$Q$313,9,FALSE)</f>
        <v>1188.58</v>
      </c>
      <c r="N120" s="114">
        <f>VLOOKUP($D120,'2022Data to Complete Appendix C'!$C$8:$Q$313,10,FALSE)</f>
        <v>7.2111499999999995E-2</v>
      </c>
      <c r="O120" s="115">
        <f>VLOOKUP($D120,'2022Data to Complete Appendix C'!$C$8:$Q$313,11,FALSE)</f>
        <v>0.56699999999999995</v>
      </c>
      <c r="P120" s="115">
        <f>VLOOKUP($D120,'2022Data to Complete Appendix C'!$C$8:$Q$313,12,FALSE)</f>
        <v>0.772675</v>
      </c>
      <c r="Q120" s="115">
        <f>VLOOKUP($D120,'2022Data to Complete Appendix C'!$C$8:$Q$313,13,FALSE)</f>
        <v>0.74399999999999999</v>
      </c>
      <c r="R120" s="114">
        <f>VLOOKUP($D120,'2022Data to Complete Appendix C'!$C$8:$Q$313,14,FALSE)</f>
        <v>2.2999999999999998</v>
      </c>
      <c r="S120" s="115">
        <f>VLOOKUP($D120,'2022Data to Complete Appendix C'!$C$8:$Q$313,15,FALSE)</f>
        <v>0.163073</v>
      </c>
      <c r="T120" s="12">
        <f>IFERROR(VLOOKUP($D120,'2022LodgingbyWUP'!$A$1:$D$98,4,FALSE),0)</f>
        <v>640</v>
      </c>
      <c r="U120" s="12">
        <f t="shared" si="1"/>
        <v>1095.1679999999999</v>
      </c>
      <c r="V120" s="12">
        <f>IFERROR(VLOOKUP($D120,Total_DU!$B$5:$Z$174,22,0),0)</f>
        <v>15865</v>
      </c>
      <c r="W120" s="12">
        <f>IFERROR(VLOOKUP($D120,Total_DU!$B$5:$Z$174,23,0),0)</f>
        <v>15985</v>
      </c>
      <c r="X120" s="12">
        <f>IFERROR(VLOOKUP($D120,Total_DU!$B$5:$Z$174,24,0),0)</f>
        <v>14756</v>
      </c>
      <c r="Y120" s="12">
        <f>IFERROR(VLOOKUP($D120,Total_DU!$B$5:$Z$174,25,0),0)</f>
        <v>15020</v>
      </c>
      <c r="Z120" s="12">
        <f>IFERROR(VLOOKUP($D120,Population!$B$5:$Y$174,21,FALSE),0)</f>
        <v>35239.189654770998</v>
      </c>
      <c r="AA120" s="12">
        <f>IFERROR(VLOOKUP($D120,Population!$B$5:$Y$174,22,FALSE),0)</f>
        <v>35475.771850825608</v>
      </c>
      <c r="AB120" s="12">
        <f>IFERROR(VLOOKUP($D120,Population!$B$5:$Y$174,23,FALSE),0)</f>
        <v>32782.824421360681</v>
      </c>
      <c r="AC120" s="12">
        <f>IFERROR(VLOOKUP($D120,Population!$B$5:$Y$174,24,FALSE),0)</f>
        <v>33039</v>
      </c>
    </row>
    <row r="121" spans="1:29" ht="15" x14ac:dyDescent="0.25">
      <c r="A121" s="11" t="s">
        <v>20</v>
      </c>
      <c r="B121" s="11" t="s">
        <v>598</v>
      </c>
      <c r="C121" s="11" t="s">
        <v>110</v>
      </c>
      <c r="D121" s="11">
        <v>5953</v>
      </c>
      <c r="E121" s="11">
        <v>2022</v>
      </c>
      <c r="F121" s="12">
        <f>VLOOKUP($D121,'2022Data to Complete Appendix C'!$C$8:$Q$313,2,FALSE)</f>
        <v>838</v>
      </c>
      <c r="G121" s="12">
        <f>VLOOKUP($D121,'2022Data to Complete Appendix C'!$C$8:$Q$313,3,FALSE)</f>
        <v>477</v>
      </c>
      <c r="H121" s="12">
        <f>VLOOKUP($D121,'2022Data to Complete Appendix C'!$C$8:$Q$313,4,FALSE)</f>
        <v>0</v>
      </c>
      <c r="I121" s="12">
        <f>VLOOKUP($D121,'2022Data to Complete Appendix C'!$C$8:$Q$313,5,FALSE)</f>
        <v>594</v>
      </c>
      <c r="J121" s="114">
        <f>VLOOKUP($D121,'2022Data to Complete Appendix C'!$C$8:$Q$313,6,FALSE)</f>
        <v>1.75681</v>
      </c>
      <c r="K121" s="114">
        <f>VLOOKUP($D121,'2022Data to Complete Appendix C'!$C$8:$Q$313,7,FALSE)</f>
        <v>1.95</v>
      </c>
      <c r="L121" s="114">
        <f>VLOOKUP($D121,'2022Data to Complete Appendix C'!$C$8:$Q$313,8,FALSE)</f>
        <v>1.0617399999999999</v>
      </c>
      <c r="M121" s="12">
        <f>VLOOKUP($D121,'2022Data to Complete Appendix C'!$C$8:$Q$313,9,FALSE)</f>
        <v>26.5337</v>
      </c>
      <c r="N121" s="114">
        <f>VLOOKUP($D121,'2022Data to Complete Appendix C'!$C$8:$Q$313,10,FALSE)</f>
        <v>5.2694900000000003E-2</v>
      </c>
      <c r="O121" s="115">
        <f>VLOOKUP($D121,'2022Data to Complete Appendix C'!$C$8:$Q$313,11,FALSE)</f>
        <v>0.56699999999999995</v>
      </c>
      <c r="P121" s="115">
        <f>VLOOKUP($D121,'2022Data to Complete Appendix C'!$C$8:$Q$313,12,FALSE)</f>
        <v>0.772675</v>
      </c>
      <c r="Q121" s="115">
        <f>VLOOKUP($D121,'2022Data to Complete Appendix C'!$C$8:$Q$313,13,FALSE)</f>
        <v>0.74399999999999999</v>
      </c>
      <c r="R121" s="114">
        <f>VLOOKUP($D121,'2022Data to Complete Appendix C'!$C$8:$Q$313,14,FALSE)</f>
        <v>2.2999999999999998</v>
      </c>
      <c r="S121" s="115">
        <f>VLOOKUP($D121,'2022Data to Complete Appendix C'!$C$8:$Q$313,15,FALSE)</f>
        <v>-0.214113</v>
      </c>
      <c r="T121" s="12">
        <f>IFERROR(VLOOKUP($D121,'2022LodgingbyWUP'!$A$1:$D$98,4,FALSE),0)</f>
        <v>0</v>
      </c>
      <c r="U121" s="12">
        <f t="shared" si="1"/>
        <v>0</v>
      </c>
      <c r="V121" s="12">
        <f>IFERROR(VLOOKUP($D121,Total_DU!$B$5:$Z$174,22,0),0)</f>
        <v>0</v>
      </c>
      <c r="W121" s="12">
        <f>IFERROR(VLOOKUP($D121,Total_DU!$B$5:$Z$174,23,0),0)</f>
        <v>0</v>
      </c>
      <c r="X121" s="12">
        <f>IFERROR(VLOOKUP($D121,Total_DU!$B$5:$Z$174,24,0),0)</f>
        <v>0</v>
      </c>
      <c r="Y121" s="12">
        <f>IFERROR(VLOOKUP($D121,Total_DU!$B$5:$Z$174,25,0),0)</f>
        <v>0</v>
      </c>
      <c r="Z121" s="12">
        <f>IFERROR(VLOOKUP($D121,Population!$B$5:$Y$174,21,FALSE),0)</f>
        <v>0</v>
      </c>
      <c r="AA121" s="12">
        <f>IFERROR(VLOOKUP($D121,Population!$B$5:$Y$174,22,FALSE),0)</f>
        <v>0</v>
      </c>
      <c r="AB121" s="12">
        <f>IFERROR(VLOOKUP($D121,Population!$B$5:$Y$174,23,FALSE),0)</f>
        <v>0</v>
      </c>
      <c r="AC121" s="12">
        <f>IFERROR(VLOOKUP($D121,Population!$B$5:$Y$174,24,FALSE),0)</f>
        <v>0</v>
      </c>
    </row>
    <row r="122" spans="1:29" ht="15" x14ac:dyDescent="0.25">
      <c r="A122" s="2" t="s">
        <v>20</v>
      </c>
      <c r="B122" s="2" t="s">
        <v>599</v>
      </c>
      <c r="C122" s="2" t="s">
        <v>95</v>
      </c>
      <c r="D122" s="2">
        <v>6040</v>
      </c>
      <c r="E122" s="11">
        <v>2022</v>
      </c>
      <c r="F122" s="12">
        <f>VLOOKUP($D122,'2022Data to Complete Appendix C'!$C$8:$Q$313,2,FALSE)</f>
        <v>29737</v>
      </c>
      <c r="G122" s="12">
        <f>VLOOKUP($D122,'2022Data to Complete Appendix C'!$C$8:$Q$313,3,FALSE)</f>
        <v>13465</v>
      </c>
      <c r="H122" s="12">
        <f>VLOOKUP($D122,'2022Data to Complete Appendix C'!$C$8:$Q$313,4,FALSE)</f>
        <v>487</v>
      </c>
      <c r="I122" s="12">
        <f>VLOOKUP($D122,'2022Data to Complete Appendix C'!$C$8:$Q$313,5,FALSE)</f>
        <v>17512</v>
      </c>
      <c r="J122" s="114">
        <f>VLOOKUP($D122,'2022Data to Complete Appendix C'!$C$8:$Q$313,6,FALSE)</f>
        <v>2.2084700000000002</v>
      </c>
      <c r="K122" s="114">
        <f>VLOOKUP($D122,'2022Data to Complete Appendix C'!$C$8:$Q$313,7,FALSE)</f>
        <v>1.95</v>
      </c>
      <c r="L122" s="114">
        <f>VLOOKUP($D122,'2022Data to Complete Appendix C'!$C$8:$Q$313,8,FALSE)</f>
        <v>1.32457</v>
      </c>
      <c r="M122" s="12">
        <f>VLOOKUP($D122,'2022Data to Complete Appendix C'!$C$8:$Q$313,9,FALSE)</f>
        <v>4949.58</v>
      </c>
      <c r="N122" s="114">
        <f>VLOOKUP($D122,'2022Data to Complete Appendix C'!$C$8:$Q$313,10,FALSE)</f>
        <v>0.26878600000000002</v>
      </c>
      <c r="O122" s="115">
        <f>VLOOKUP($D122,'2022Data to Complete Appendix C'!$C$8:$Q$313,11,FALSE)</f>
        <v>0.56699999999999995</v>
      </c>
      <c r="P122" s="115">
        <f>VLOOKUP($D122,'2022Data to Complete Appendix C'!$C$8:$Q$313,12,FALSE)</f>
        <v>0.772675</v>
      </c>
      <c r="Q122" s="115">
        <f>VLOOKUP($D122,'2022Data to Complete Appendix C'!$C$8:$Q$313,13,FALSE)</f>
        <v>0.74399999999999999</v>
      </c>
      <c r="R122" s="114">
        <f>VLOOKUP($D122,'2022Data to Complete Appendix C'!$C$8:$Q$313,14,FALSE)</f>
        <v>2.2999999999999998</v>
      </c>
      <c r="S122" s="115">
        <f>VLOOKUP($D122,'2022Data to Complete Appendix C'!$C$8:$Q$313,15,FALSE)</f>
        <v>-1.4525700000000001E-2</v>
      </c>
      <c r="T122" s="12">
        <f>IFERROR(VLOOKUP($D122,'2022LodgingbyWUP'!$A$1:$D$98,4,FALSE),0)</f>
        <v>258</v>
      </c>
      <c r="U122" s="12">
        <f t="shared" si="1"/>
        <v>441.48959999999994</v>
      </c>
      <c r="V122" s="12">
        <f>IFERROR(VLOOKUP($D122,Total_DU!$B$5:$Z$174,22,0),0)</f>
        <v>13346</v>
      </c>
      <c r="W122" s="12">
        <f>IFERROR(VLOOKUP($D122,Total_DU!$B$5:$Z$174,23,0),0)</f>
        <v>13394</v>
      </c>
      <c r="X122" s="12">
        <f>IFERROR(VLOOKUP($D122,Total_DU!$B$5:$Z$174,24,0),0)</f>
        <v>13768</v>
      </c>
      <c r="Y122" s="12">
        <f>IFERROR(VLOOKUP($D122,Total_DU!$B$5:$Z$174,25,0),0)</f>
        <v>14062</v>
      </c>
      <c r="Z122" s="12">
        <f>IFERROR(VLOOKUP($D122,Population!$B$5:$Y$174,21,FALSE),0)</f>
        <v>27734.354783439936</v>
      </c>
      <c r="AA122" s="12">
        <f>IFERROR(VLOOKUP($D122,Population!$B$5:$Y$174,22,FALSE),0)</f>
        <v>27823.979686613737</v>
      </c>
      <c r="AB122" s="12">
        <f>IFERROR(VLOOKUP($D122,Population!$B$5:$Y$174,23,FALSE),0)</f>
        <v>28584</v>
      </c>
      <c r="AC122" s="12">
        <f>IFERROR(VLOOKUP($D122,Population!$B$5:$Y$174,24,FALSE),0)</f>
        <v>29117</v>
      </c>
    </row>
    <row r="123" spans="1:29" ht="15" x14ac:dyDescent="0.25">
      <c r="A123" s="11" t="s">
        <v>20</v>
      </c>
      <c r="B123" s="11" t="s">
        <v>600</v>
      </c>
      <c r="C123" s="11" t="s">
        <v>483</v>
      </c>
      <c r="D123" s="11">
        <v>6223</v>
      </c>
      <c r="E123" s="11">
        <v>2022</v>
      </c>
      <c r="F123" s="12">
        <f>VLOOKUP($D123,'2022Data to Complete Appendix C'!$C$8:$Q$313,2,FALSE)</f>
        <v>1021</v>
      </c>
      <c r="G123" s="12">
        <f>VLOOKUP($D123,'2022Data to Complete Appendix C'!$C$8:$Q$313,3,FALSE)</f>
        <v>517</v>
      </c>
      <c r="H123" s="12">
        <f>VLOOKUP($D123,'2022Data to Complete Appendix C'!$C$8:$Q$313,4,FALSE)</f>
        <v>0</v>
      </c>
      <c r="I123" s="12">
        <f>VLOOKUP($D123,'2022Data to Complete Appendix C'!$C$8:$Q$313,5,FALSE)</f>
        <v>802</v>
      </c>
      <c r="J123" s="114">
        <f>VLOOKUP($D123,'2022Data to Complete Appendix C'!$C$8:$Q$313,6,FALSE)</f>
        <v>1.97485</v>
      </c>
      <c r="K123" s="114">
        <f>VLOOKUP($D123,'2022Data to Complete Appendix C'!$C$8:$Q$313,7,FALSE)</f>
        <v>1.95</v>
      </c>
      <c r="L123" s="114">
        <f>VLOOKUP($D123,'2022Data to Complete Appendix C'!$C$8:$Q$313,8,FALSE)</f>
        <v>1</v>
      </c>
      <c r="M123" s="12">
        <f>VLOOKUP($D123,'2022Data to Complete Appendix C'!$C$8:$Q$313,9,FALSE)</f>
        <v>0</v>
      </c>
      <c r="N123" s="114">
        <f>VLOOKUP($D123,'2022Data to Complete Appendix C'!$C$8:$Q$313,10,FALSE)</f>
        <v>0</v>
      </c>
      <c r="O123" s="115">
        <f>VLOOKUP($D123,'2022Data to Complete Appendix C'!$C$8:$Q$313,11,FALSE)</f>
        <v>0.56699999999999995</v>
      </c>
      <c r="P123" s="115">
        <f>VLOOKUP($D123,'2022Data to Complete Appendix C'!$C$8:$Q$313,12,FALSE)</f>
        <v>0.772675</v>
      </c>
      <c r="Q123" s="115">
        <f>VLOOKUP($D123,'2022Data to Complete Appendix C'!$C$8:$Q$313,13,FALSE)</f>
        <v>0.74399999999999999</v>
      </c>
      <c r="R123" s="114">
        <f>VLOOKUP($D123,'2022Data to Complete Appendix C'!$C$8:$Q$313,14,FALSE)</f>
        <v>2.2999999999999998</v>
      </c>
      <c r="S123" s="115">
        <f>VLOOKUP($D123,'2022Data to Complete Appendix C'!$C$8:$Q$313,15,FALSE)</f>
        <v>-0.54213299999999998</v>
      </c>
      <c r="T123" s="12">
        <f>IFERROR(VLOOKUP($D123,'2022LodgingbyWUP'!$A$1:$D$98,4,FALSE),0)</f>
        <v>69</v>
      </c>
      <c r="U123" s="12">
        <f t="shared" si="1"/>
        <v>118.07279999999999</v>
      </c>
      <c r="V123" s="12">
        <f>IFERROR(VLOOKUP($D123,Total_DU!$B$5:$Z$174,22,0),0)</f>
        <v>0</v>
      </c>
      <c r="W123" s="12">
        <f>IFERROR(VLOOKUP($D123,Total_DU!$B$5:$Z$174,23,0),0)</f>
        <v>0</v>
      </c>
      <c r="X123" s="12">
        <f>IFERROR(VLOOKUP($D123,Total_DU!$B$5:$Z$174,24,0),0)</f>
        <v>0</v>
      </c>
      <c r="Y123" s="12">
        <f>IFERROR(VLOOKUP($D123,Total_DU!$B$5:$Z$174,25,0),0)</f>
        <v>0</v>
      </c>
      <c r="Z123" s="12">
        <f>IFERROR(VLOOKUP($D123,Population!$B$5:$Y$174,21,FALSE),0)</f>
        <v>0</v>
      </c>
      <c r="AA123" s="12">
        <f>IFERROR(VLOOKUP($D123,Population!$B$5:$Y$174,22,FALSE),0)</f>
        <v>0</v>
      </c>
      <c r="AB123" s="12">
        <f>IFERROR(VLOOKUP($D123,Population!$B$5:$Y$174,23,FALSE),0)</f>
        <v>0</v>
      </c>
      <c r="AC123" s="12">
        <f>IFERROR(VLOOKUP($D123,Population!$B$5:$Y$174,24,FALSE),0)</f>
        <v>0</v>
      </c>
    </row>
    <row r="124" spans="1:29" ht="15" x14ac:dyDescent="0.25">
      <c r="A124" s="2" t="s">
        <v>20</v>
      </c>
      <c r="B124" s="2" t="s">
        <v>601</v>
      </c>
      <c r="C124" s="2" t="s">
        <v>108</v>
      </c>
      <c r="D124" s="2">
        <v>6640</v>
      </c>
      <c r="E124" s="11">
        <v>2022</v>
      </c>
      <c r="F124" s="12">
        <f>VLOOKUP($D124,'2022Data to Complete Appendix C'!$C$8:$Q$313,2,FALSE)</f>
        <v>539</v>
      </c>
      <c r="G124" s="12">
        <f>VLOOKUP($D124,'2022Data to Complete Appendix C'!$C$8:$Q$313,3,FALSE)</f>
        <v>306</v>
      </c>
      <c r="H124" s="12">
        <f>VLOOKUP($D124,'2022Data to Complete Appendix C'!$C$8:$Q$313,4,FALSE)</f>
        <v>0</v>
      </c>
      <c r="I124" s="12">
        <f>VLOOKUP($D124,'2022Data to Complete Appendix C'!$C$8:$Q$313,5,FALSE)</f>
        <v>431</v>
      </c>
      <c r="J124" s="114">
        <f>VLOOKUP($D124,'2022Data to Complete Appendix C'!$C$8:$Q$313,6,FALSE)</f>
        <v>1.7614399999999999</v>
      </c>
      <c r="K124" s="114">
        <f>VLOOKUP($D124,'2022Data to Complete Appendix C'!$C$8:$Q$313,7,FALSE)</f>
        <v>1.95</v>
      </c>
      <c r="L124" s="114">
        <f>VLOOKUP($D124,'2022Data to Complete Appendix C'!$C$8:$Q$313,8,FALSE)</f>
        <v>1.33748</v>
      </c>
      <c r="M124" s="12">
        <f>VLOOKUP($D124,'2022Data to Complete Appendix C'!$C$8:$Q$313,9,FALSE)</f>
        <v>93.2821</v>
      </c>
      <c r="N124" s="114">
        <f>VLOOKUP($D124,'2022Data to Complete Appendix C'!$C$8:$Q$313,10,FALSE)</f>
        <v>0.233625</v>
      </c>
      <c r="O124" s="115">
        <f>VLOOKUP($D124,'2022Data to Complete Appendix C'!$C$8:$Q$313,11,FALSE)</f>
        <v>0.56699999999999995</v>
      </c>
      <c r="P124" s="115">
        <f>VLOOKUP($D124,'2022Data to Complete Appendix C'!$C$8:$Q$313,12,FALSE)</f>
        <v>0.772675</v>
      </c>
      <c r="Q124" s="115">
        <f>VLOOKUP($D124,'2022Data to Complete Appendix C'!$C$8:$Q$313,13,FALSE)</f>
        <v>0.74399999999999999</v>
      </c>
      <c r="R124" s="114">
        <f>VLOOKUP($D124,'2022Data to Complete Appendix C'!$C$8:$Q$313,14,FALSE)</f>
        <v>2.2999999999999998</v>
      </c>
      <c r="S124" s="115">
        <f>VLOOKUP($D124,'2022Data to Complete Appendix C'!$C$8:$Q$313,15,FALSE)</f>
        <v>-0.48082900000000001</v>
      </c>
      <c r="T124" s="12">
        <f>IFERROR(VLOOKUP($D124,'2022LodgingbyWUP'!$A$1:$D$98,4,FALSE),0)</f>
        <v>0</v>
      </c>
      <c r="U124" s="12">
        <f t="shared" si="1"/>
        <v>0</v>
      </c>
      <c r="V124" s="12">
        <f>IFERROR(VLOOKUP($D124,Total_DU!$B$5:$Z$174,22,0),0)</f>
        <v>0</v>
      </c>
      <c r="W124" s="12">
        <f>IFERROR(VLOOKUP($D124,Total_DU!$B$5:$Z$174,23,0),0)</f>
        <v>0</v>
      </c>
      <c r="X124" s="12">
        <f>IFERROR(VLOOKUP($D124,Total_DU!$B$5:$Z$174,24,0),0)</f>
        <v>0</v>
      </c>
      <c r="Y124" s="12">
        <f>IFERROR(VLOOKUP($D124,Total_DU!$B$5:$Z$174,25,0),0)</f>
        <v>0</v>
      </c>
      <c r="Z124" s="12">
        <f>IFERROR(VLOOKUP($D124,Population!$B$5:$Y$174,21,FALSE),0)</f>
        <v>0</v>
      </c>
      <c r="AA124" s="12">
        <f>IFERROR(VLOOKUP($D124,Population!$B$5:$Y$174,22,FALSE),0)</f>
        <v>0</v>
      </c>
      <c r="AB124" s="12">
        <f>IFERROR(VLOOKUP($D124,Population!$B$5:$Y$174,23,FALSE),0)</f>
        <v>0</v>
      </c>
      <c r="AC124" s="12">
        <f>IFERROR(VLOOKUP($D124,Population!$B$5:$Y$174,24,FALSE),0)</f>
        <v>0</v>
      </c>
    </row>
    <row r="125" spans="1:29" ht="15" x14ac:dyDescent="0.25">
      <c r="A125" s="11" t="s">
        <v>20</v>
      </c>
      <c r="B125" s="11" t="s">
        <v>602</v>
      </c>
      <c r="C125" s="11" t="s">
        <v>482</v>
      </c>
      <c r="D125" s="11">
        <v>6867</v>
      </c>
      <c r="E125" s="11">
        <v>2022</v>
      </c>
      <c r="F125" s="12">
        <f>VLOOKUP($D125,'2022Data to Complete Appendix C'!$C$8:$Q$313,2,FALSE)</f>
        <v>1268</v>
      </c>
      <c r="G125" s="12">
        <f>VLOOKUP($D125,'2022Data to Complete Appendix C'!$C$8:$Q$313,3,FALSE)</f>
        <v>697</v>
      </c>
      <c r="H125" s="12">
        <f>VLOOKUP($D125,'2022Data to Complete Appendix C'!$C$8:$Q$313,4,FALSE)</f>
        <v>0</v>
      </c>
      <c r="I125" s="12">
        <f>VLOOKUP($D125,'2022Data to Complete Appendix C'!$C$8:$Q$313,5,FALSE)</f>
        <v>1080</v>
      </c>
      <c r="J125" s="114">
        <f>VLOOKUP($D125,'2022Data to Complete Appendix C'!$C$8:$Q$313,6,FALSE)</f>
        <v>1.8192299999999999</v>
      </c>
      <c r="K125" s="114">
        <f>VLOOKUP($D125,'2022Data to Complete Appendix C'!$C$8:$Q$313,7,FALSE)</f>
        <v>1.95</v>
      </c>
      <c r="L125" s="114">
        <f>VLOOKUP($D125,'2022Data to Complete Appendix C'!$C$8:$Q$313,8,FALSE)</f>
        <v>1.2938499999999999</v>
      </c>
      <c r="M125" s="12">
        <f>VLOOKUP($D125,'2022Data to Complete Appendix C'!$C$8:$Q$313,9,FALSE)</f>
        <v>191.08</v>
      </c>
      <c r="N125" s="114">
        <f>VLOOKUP($D125,'2022Data to Complete Appendix C'!$C$8:$Q$313,10,FALSE)</f>
        <v>0.21516099999999999</v>
      </c>
      <c r="O125" s="115">
        <f>VLOOKUP($D125,'2022Data to Complete Appendix C'!$C$8:$Q$313,11,FALSE)</f>
        <v>0.56699999999999995</v>
      </c>
      <c r="P125" s="115">
        <f>VLOOKUP($D125,'2022Data to Complete Appendix C'!$C$8:$Q$313,12,FALSE)</f>
        <v>0.772675</v>
      </c>
      <c r="Q125" s="115">
        <f>VLOOKUP($D125,'2022Data to Complete Appendix C'!$C$8:$Q$313,13,FALSE)</f>
        <v>0.74399999999999999</v>
      </c>
      <c r="R125" s="114">
        <f>VLOOKUP($D125,'2022Data to Complete Appendix C'!$C$8:$Q$313,14,FALSE)</f>
        <v>2.2999999999999998</v>
      </c>
      <c r="S125" s="115">
        <f>VLOOKUP($D125,'2022Data to Complete Appendix C'!$C$8:$Q$313,15,FALSE)</f>
        <v>0.210843</v>
      </c>
      <c r="T125" s="12">
        <f>IFERROR(VLOOKUP($D125,'2022LodgingbyWUP'!$A$1:$D$98,4,FALSE),0)</f>
        <v>0</v>
      </c>
      <c r="U125" s="12">
        <f t="shared" si="1"/>
        <v>0</v>
      </c>
      <c r="V125" s="12">
        <f>IFERROR(VLOOKUP($D125,Total_DU!$B$5:$Z$174,22,0),0)</f>
        <v>0</v>
      </c>
      <c r="W125" s="12">
        <f>IFERROR(VLOOKUP($D125,Total_DU!$B$5:$Z$174,23,0),0)</f>
        <v>0</v>
      </c>
      <c r="X125" s="12">
        <f>IFERROR(VLOOKUP($D125,Total_DU!$B$5:$Z$174,24,0),0)</f>
        <v>0</v>
      </c>
      <c r="Y125" s="12">
        <f>IFERROR(VLOOKUP($D125,Total_DU!$B$5:$Z$174,25,0),0)</f>
        <v>0</v>
      </c>
      <c r="Z125" s="12">
        <f>IFERROR(VLOOKUP($D125,Population!$B$5:$Y$174,21,FALSE),0)</f>
        <v>0</v>
      </c>
      <c r="AA125" s="12">
        <f>IFERROR(VLOOKUP($D125,Population!$B$5:$Y$174,22,FALSE),0)</f>
        <v>0</v>
      </c>
      <c r="AB125" s="12">
        <f>IFERROR(VLOOKUP($D125,Population!$B$5:$Y$174,23,FALSE),0)</f>
        <v>0</v>
      </c>
      <c r="AC125" s="12">
        <f>IFERROR(VLOOKUP($D125,Population!$B$5:$Y$174,24,FALSE),0)</f>
        <v>0</v>
      </c>
    </row>
    <row r="126" spans="1:29" ht="15" x14ac:dyDescent="0.25">
      <c r="A126" s="2" t="s">
        <v>20</v>
      </c>
      <c r="B126" s="2" t="s">
        <v>603</v>
      </c>
      <c r="C126" s="2" t="s">
        <v>117</v>
      </c>
      <c r="D126" s="2">
        <v>6982</v>
      </c>
      <c r="E126" s="11">
        <v>2022</v>
      </c>
      <c r="F126" s="12">
        <f>VLOOKUP($D126,'2022Data to Complete Appendix C'!$C$8:$Q$313,2,FALSE)</f>
        <v>296</v>
      </c>
      <c r="G126" s="12">
        <f>VLOOKUP($D126,'2022Data to Complete Appendix C'!$C$8:$Q$313,3,FALSE)</f>
        <v>115</v>
      </c>
      <c r="H126" s="12">
        <f>VLOOKUP($D126,'2022Data to Complete Appendix C'!$C$8:$Q$313,4,FALSE)</f>
        <v>0</v>
      </c>
      <c r="I126" s="12">
        <f>VLOOKUP($D126,'2022Data to Complete Appendix C'!$C$8:$Q$313,5,FALSE)</f>
        <v>125</v>
      </c>
      <c r="J126" s="114">
        <f>VLOOKUP($D126,'2022Data to Complete Appendix C'!$C$8:$Q$313,6,FALSE)</f>
        <v>2.5739100000000001</v>
      </c>
      <c r="K126" s="114">
        <f>VLOOKUP($D126,'2022Data to Complete Appendix C'!$C$8:$Q$313,7,FALSE)</f>
        <v>1.95</v>
      </c>
      <c r="L126" s="114">
        <f>VLOOKUP($D126,'2022Data to Complete Appendix C'!$C$8:$Q$313,8,FALSE)</f>
        <v>1.09961</v>
      </c>
      <c r="M126" s="12">
        <f>VLOOKUP($D126,'2022Data to Complete Appendix C'!$C$8:$Q$313,9,FALSE)</f>
        <v>15.1206</v>
      </c>
      <c r="N126" s="114">
        <f>VLOOKUP($D126,'2022Data to Complete Appendix C'!$C$8:$Q$313,10,FALSE)</f>
        <v>0.116204</v>
      </c>
      <c r="O126" s="115">
        <f>VLOOKUP($D126,'2022Data to Complete Appendix C'!$C$8:$Q$313,11,FALSE)</f>
        <v>0.56699999999999995</v>
      </c>
      <c r="P126" s="115">
        <f>VLOOKUP($D126,'2022Data to Complete Appendix C'!$C$8:$Q$313,12,FALSE)</f>
        <v>0.772675</v>
      </c>
      <c r="Q126" s="115">
        <f>VLOOKUP($D126,'2022Data to Complete Appendix C'!$C$8:$Q$313,13,FALSE)</f>
        <v>0.74399999999999999</v>
      </c>
      <c r="R126" s="114">
        <f>VLOOKUP($D126,'2022Data to Complete Appendix C'!$C$8:$Q$313,14,FALSE)</f>
        <v>2.2999999999999998</v>
      </c>
      <c r="S126" s="115">
        <f>VLOOKUP($D126,'2022Data to Complete Appendix C'!$C$8:$Q$313,15,FALSE)</f>
        <v>-0.54655900000000002</v>
      </c>
      <c r="T126" s="12">
        <f>IFERROR(VLOOKUP($D126,'2022LodgingbyWUP'!$A$1:$D$98,4,FALSE),0)</f>
        <v>0</v>
      </c>
      <c r="U126" s="12">
        <f t="shared" ref="U126:U190" si="3">IF(T126&gt;0,T126*Q126*R126,0)</f>
        <v>0</v>
      </c>
      <c r="V126" s="12">
        <f>IFERROR(VLOOKUP($D126,Total_DU!$B$5:$Z$174,22,0),0)</f>
        <v>0</v>
      </c>
      <c r="W126" s="12">
        <f>IFERROR(VLOOKUP($D126,Total_DU!$B$5:$Z$174,23,0),0)</f>
        <v>0</v>
      </c>
      <c r="X126" s="12">
        <f>IFERROR(VLOOKUP($D126,Total_DU!$B$5:$Z$174,24,0),0)</f>
        <v>0</v>
      </c>
      <c r="Y126" s="12">
        <f>IFERROR(VLOOKUP($D126,Total_DU!$B$5:$Z$174,25,0),0)</f>
        <v>0</v>
      </c>
      <c r="Z126" s="12">
        <f>IFERROR(VLOOKUP($D126,Population!$B$5:$Y$174,21,FALSE),0)</f>
        <v>0</v>
      </c>
      <c r="AA126" s="12">
        <f>IFERROR(VLOOKUP($D126,Population!$B$5:$Y$174,22,FALSE),0)</f>
        <v>0</v>
      </c>
      <c r="AB126" s="12">
        <f>IFERROR(VLOOKUP($D126,Population!$B$5:$Y$174,23,FALSE),0)</f>
        <v>0</v>
      </c>
      <c r="AC126" s="12">
        <f>IFERROR(VLOOKUP($D126,Population!$B$5:$Y$174,24,FALSE),0)</f>
        <v>0</v>
      </c>
    </row>
    <row r="127" spans="1:29" ht="15" x14ac:dyDescent="0.25">
      <c r="A127" s="11" t="s">
        <v>20</v>
      </c>
      <c r="B127" s="11" t="s">
        <v>604</v>
      </c>
      <c r="C127" s="11" t="s">
        <v>120</v>
      </c>
      <c r="D127" s="11">
        <v>7299</v>
      </c>
      <c r="E127" s="11">
        <v>2022</v>
      </c>
      <c r="F127" s="12">
        <f>VLOOKUP($D127,'2022Data to Complete Appendix C'!$C$8:$Q$313,2,FALSE)</f>
        <v>1731</v>
      </c>
      <c r="G127" s="12">
        <f>VLOOKUP($D127,'2022Data to Complete Appendix C'!$C$8:$Q$313,3,FALSE)</f>
        <v>768</v>
      </c>
      <c r="H127" s="12">
        <f>VLOOKUP($D127,'2022Data to Complete Appendix C'!$C$8:$Q$313,4,FALSE)</f>
        <v>0</v>
      </c>
      <c r="I127" s="12">
        <f>VLOOKUP($D127,'2022Data to Complete Appendix C'!$C$8:$Q$313,5,FALSE)</f>
        <v>884</v>
      </c>
      <c r="J127" s="114">
        <f>VLOOKUP($D127,'2022Data to Complete Appendix C'!$C$8:$Q$313,6,FALSE)</f>
        <v>2.2539099999999999</v>
      </c>
      <c r="K127" s="114">
        <f>VLOOKUP($D127,'2022Data to Complete Appendix C'!$C$8:$Q$313,7,FALSE)</f>
        <v>1.95</v>
      </c>
      <c r="L127" s="114">
        <f>VLOOKUP($D127,'2022Data to Complete Appendix C'!$C$8:$Q$313,8,FALSE)</f>
        <v>1.0617399999999999</v>
      </c>
      <c r="M127" s="12">
        <f>VLOOKUP($D127,'2022Data to Complete Appendix C'!$C$8:$Q$313,9,FALSE)</f>
        <v>54.808799999999998</v>
      </c>
      <c r="N127" s="114">
        <f>VLOOKUP($D127,'2022Data to Complete Appendix C'!$C$8:$Q$313,10,FALSE)</f>
        <v>6.6611799999999999E-2</v>
      </c>
      <c r="O127" s="115">
        <f>VLOOKUP($D127,'2022Data to Complete Appendix C'!$C$8:$Q$313,11,FALSE)</f>
        <v>0.56699999999999995</v>
      </c>
      <c r="P127" s="115">
        <f>VLOOKUP($D127,'2022Data to Complete Appendix C'!$C$8:$Q$313,12,FALSE)</f>
        <v>0.772675</v>
      </c>
      <c r="Q127" s="115">
        <f>VLOOKUP($D127,'2022Data to Complete Appendix C'!$C$8:$Q$313,13,FALSE)</f>
        <v>0.74399999999999999</v>
      </c>
      <c r="R127" s="114">
        <f>VLOOKUP($D127,'2022Data to Complete Appendix C'!$C$8:$Q$313,14,FALSE)</f>
        <v>2.2999999999999998</v>
      </c>
      <c r="S127" s="115">
        <f>VLOOKUP($D127,'2022Data to Complete Appendix C'!$C$8:$Q$313,15,FALSE)</f>
        <v>-0.214113</v>
      </c>
      <c r="T127" s="12">
        <f>IFERROR(VLOOKUP($D127,'2022LodgingbyWUP'!$A$1:$D$98,4,FALSE),0)</f>
        <v>0</v>
      </c>
      <c r="U127" s="12">
        <f t="shared" si="3"/>
        <v>0</v>
      </c>
      <c r="V127" s="12" t="str">
        <f>IFERROR(VLOOKUP($D127,Total_DU!$B$5:$Z$174,22,0),0)</f>
        <v>NA</v>
      </c>
      <c r="W127" s="12" t="str">
        <f>IFERROR(VLOOKUP($D127,Total_DU!$B$5:$Z$174,23,0),0)</f>
        <v>NA</v>
      </c>
      <c r="X127" s="12" t="str">
        <f>IFERROR(VLOOKUP($D127,Total_DU!$B$5:$Z$174,24,0),0)</f>
        <v>NA</v>
      </c>
      <c r="Y127" s="12" t="str">
        <f>IFERROR(VLOOKUP($D127,Total_DU!$B$5:$Z$174,25,0),0)</f>
        <v>NA</v>
      </c>
      <c r="Z127" s="12" t="str">
        <f>IFERROR(VLOOKUP($D127,Population!$B$5:$Y$174,21,FALSE),0)</f>
        <v>NA</v>
      </c>
      <c r="AA127" s="12" t="str">
        <f>IFERROR(VLOOKUP($D127,Population!$B$5:$Y$174,22,FALSE),0)</f>
        <v>NA</v>
      </c>
      <c r="AB127" s="12" t="str">
        <f>IFERROR(VLOOKUP($D127,Population!$B$5:$Y$174,23,FALSE),0)</f>
        <v>NA</v>
      </c>
      <c r="AC127" s="12" t="str">
        <f>IFERROR(VLOOKUP($D127,Population!$B$5:$Y$174,24,FALSE),0)</f>
        <v>NA</v>
      </c>
    </row>
    <row r="128" spans="1:29" ht="15" x14ac:dyDescent="0.25">
      <c r="A128" s="2" t="s">
        <v>20</v>
      </c>
      <c r="B128" s="2" t="s">
        <v>605</v>
      </c>
      <c r="C128" s="2" t="s">
        <v>45</v>
      </c>
      <c r="D128" s="2">
        <v>7588</v>
      </c>
      <c r="E128" s="11">
        <v>2022</v>
      </c>
      <c r="F128" s="12">
        <f>VLOOKUP($D128,'2022Data to Complete Appendix C'!$C$8:$Q$313,2,FALSE)</f>
        <v>479</v>
      </c>
      <c r="G128" s="12">
        <f>VLOOKUP($D128,'2022Data to Complete Appendix C'!$C$8:$Q$313,3,FALSE)</f>
        <v>287</v>
      </c>
      <c r="H128" s="12">
        <f>VLOOKUP($D128,'2022Data to Complete Appendix C'!$C$8:$Q$313,4,FALSE)</f>
        <v>0</v>
      </c>
      <c r="I128" s="12">
        <f>VLOOKUP($D128,'2022Data to Complete Appendix C'!$C$8:$Q$313,5,FALSE)</f>
        <v>499</v>
      </c>
      <c r="J128" s="114">
        <f>VLOOKUP($D128,'2022Data to Complete Appendix C'!$C$8:$Q$313,6,FALSE)</f>
        <v>1.66899</v>
      </c>
      <c r="K128" s="114">
        <f>VLOOKUP($D128,'2022Data to Complete Appendix C'!$C$8:$Q$313,7,FALSE)</f>
        <v>1.95</v>
      </c>
      <c r="L128" s="114">
        <f>VLOOKUP($D128,'2022Data to Complete Appendix C'!$C$8:$Q$313,8,FALSE)</f>
        <v>1.33748</v>
      </c>
      <c r="M128" s="12">
        <f>VLOOKUP($D128,'2022Data to Complete Appendix C'!$C$8:$Q$313,9,FALSE)</f>
        <v>82.898200000000003</v>
      </c>
      <c r="N128" s="114">
        <f>VLOOKUP($D128,'2022Data to Complete Appendix C'!$C$8:$Q$313,10,FALSE)</f>
        <v>0.224111</v>
      </c>
      <c r="O128" s="115">
        <f>VLOOKUP($D128,'2022Data to Complete Appendix C'!$C$8:$Q$313,11,FALSE)</f>
        <v>0.56699999999999995</v>
      </c>
      <c r="P128" s="115">
        <f>VLOOKUP($D128,'2022Data to Complete Appendix C'!$C$8:$Q$313,12,FALSE)</f>
        <v>0.772675</v>
      </c>
      <c r="Q128" s="115">
        <f>VLOOKUP($D128,'2022Data to Complete Appendix C'!$C$8:$Q$313,13,FALSE)</f>
        <v>0.74399999999999999</v>
      </c>
      <c r="R128" s="114">
        <f>VLOOKUP($D128,'2022Data to Complete Appendix C'!$C$8:$Q$313,14,FALSE)</f>
        <v>2.2999999999999998</v>
      </c>
      <c r="S128" s="115">
        <f>VLOOKUP($D128,'2022Data to Complete Appendix C'!$C$8:$Q$313,15,FALSE)</f>
        <v>-0.48243799999999998</v>
      </c>
      <c r="T128" s="12">
        <f>IFERROR(VLOOKUP($D128,'2022LodgingbyWUP'!$A$1:$D$98,4,FALSE),0)</f>
        <v>0</v>
      </c>
      <c r="U128" s="12">
        <f t="shared" si="3"/>
        <v>0</v>
      </c>
      <c r="V128" s="12">
        <f>IFERROR(VLOOKUP($D128,Total_DU!$B$5:$Z$174,22,0),0)</f>
        <v>0</v>
      </c>
      <c r="W128" s="12">
        <f>IFERROR(VLOOKUP($D128,Total_DU!$B$5:$Z$174,23,0),0)</f>
        <v>0</v>
      </c>
      <c r="X128" s="12">
        <f>IFERROR(VLOOKUP($D128,Total_DU!$B$5:$Z$174,24,0),0)</f>
        <v>0</v>
      </c>
      <c r="Y128" s="12">
        <f>IFERROR(VLOOKUP($D128,Total_DU!$B$5:$Z$174,25,0),0)</f>
        <v>0</v>
      </c>
      <c r="Z128" s="12">
        <f>IFERROR(VLOOKUP($D128,Population!$B$5:$Y$174,21,FALSE),0)</f>
        <v>0</v>
      </c>
      <c r="AA128" s="12">
        <f>IFERROR(VLOOKUP($D128,Population!$B$5:$Y$174,22,FALSE),0)</f>
        <v>0</v>
      </c>
      <c r="AB128" s="12">
        <f>IFERROR(VLOOKUP($D128,Population!$B$5:$Y$174,23,FALSE),0)</f>
        <v>0</v>
      </c>
      <c r="AC128" s="12">
        <f>IFERROR(VLOOKUP($D128,Population!$B$5:$Y$174,24,FALSE),0)</f>
        <v>0</v>
      </c>
    </row>
    <row r="129" spans="1:29" ht="15" x14ac:dyDescent="0.25">
      <c r="A129" s="11" t="s">
        <v>20</v>
      </c>
      <c r="B129" s="11" t="s">
        <v>606</v>
      </c>
      <c r="C129" s="11" t="s">
        <v>483</v>
      </c>
      <c r="D129" s="11">
        <v>7718</v>
      </c>
      <c r="E129" s="11">
        <v>2022</v>
      </c>
      <c r="F129" s="12">
        <f>VLOOKUP($D129,'2022Data to Complete Appendix C'!$C$8:$Q$313,2,FALSE)</f>
        <v>946</v>
      </c>
      <c r="G129" s="12">
        <f>VLOOKUP($D129,'2022Data to Complete Appendix C'!$C$8:$Q$313,3,FALSE)</f>
        <v>402</v>
      </c>
      <c r="H129" s="12">
        <f>VLOOKUP($D129,'2022Data to Complete Appendix C'!$C$8:$Q$313,4,FALSE)</f>
        <v>0</v>
      </c>
      <c r="I129" s="12">
        <f>VLOOKUP($D129,'2022Data to Complete Appendix C'!$C$8:$Q$313,5,FALSE)</f>
        <v>509</v>
      </c>
      <c r="J129" s="114">
        <f>VLOOKUP($D129,'2022Data to Complete Appendix C'!$C$8:$Q$313,6,FALSE)</f>
        <v>2.3532299999999999</v>
      </c>
      <c r="K129" s="114">
        <f>VLOOKUP($D129,'2022Data to Complete Appendix C'!$C$8:$Q$313,7,FALSE)</f>
        <v>1.95</v>
      </c>
      <c r="L129" s="114">
        <f>VLOOKUP($D129,'2022Data to Complete Appendix C'!$C$8:$Q$313,8,FALSE)</f>
        <v>1.14455</v>
      </c>
      <c r="M129" s="12">
        <f>VLOOKUP($D129,'2022Data to Complete Appendix C'!$C$8:$Q$313,9,FALSE)</f>
        <v>70.125299999999996</v>
      </c>
      <c r="N129" s="114">
        <f>VLOOKUP($D129,'2022Data to Complete Appendix C'!$C$8:$Q$313,10,FALSE)</f>
        <v>0.148531</v>
      </c>
      <c r="O129" s="115">
        <f>VLOOKUP($D129,'2022Data to Complete Appendix C'!$C$8:$Q$313,11,FALSE)</f>
        <v>0.56699999999999995</v>
      </c>
      <c r="P129" s="115">
        <f>VLOOKUP($D129,'2022Data to Complete Appendix C'!$C$8:$Q$313,12,FALSE)</f>
        <v>0.772675</v>
      </c>
      <c r="Q129" s="115">
        <f>VLOOKUP($D129,'2022Data to Complete Appendix C'!$C$8:$Q$313,13,FALSE)</f>
        <v>0.74399999999999999</v>
      </c>
      <c r="R129" s="114">
        <f>VLOOKUP($D129,'2022Data to Complete Appendix C'!$C$8:$Q$313,14,FALSE)</f>
        <v>2.2999999999999998</v>
      </c>
      <c r="S129" s="115">
        <f>VLOOKUP($D129,'2022Data to Complete Appendix C'!$C$8:$Q$313,15,FALSE)</f>
        <v>-2.5336600000000001E-2</v>
      </c>
      <c r="T129" s="12">
        <f>IFERROR(VLOOKUP($D129,'2022LodgingbyWUP'!$A$1:$D$98,4,FALSE),0)</f>
        <v>0</v>
      </c>
      <c r="U129" s="12">
        <f t="shared" si="3"/>
        <v>0</v>
      </c>
      <c r="V129" s="12">
        <f>IFERROR(VLOOKUP($D129,Total_DU!$B$5:$Z$174,22,0),0)</f>
        <v>0</v>
      </c>
      <c r="W129" s="12">
        <f>IFERROR(VLOOKUP($D129,Total_DU!$B$5:$Z$174,23,0),0)</f>
        <v>0</v>
      </c>
      <c r="X129" s="12">
        <f>IFERROR(VLOOKUP($D129,Total_DU!$B$5:$Z$174,24,0),0)</f>
        <v>0</v>
      </c>
      <c r="Y129" s="12">
        <f>IFERROR(VLOOKUP($D129,Total_DU!$B$5:$Z$174,25,0),0)</f>
        <v>0</v>
      </c>
      <c r="Z129" s="12">
        <f>IFERROR(VLOOKUP($D129,Population!$B$5:$Y$174,21,FALSE),0)</f>
        <v>0</v>
      </c>
      <c r="AA129" s="12">
        <f>IFERROR(VLOOKUP($D129,Population!$B$5:$Y$174,22,FALSE),0)</f>
        <v>0</v>
      </c>
      <c r="AB129" s="12">
        <f>IFERROR(VLOOKUP($D129,Population!$B$5:$Y$174,23,FALSE),0)</f>
        <v>0</v>
      </c>
      <c r="AC129" s="12">
        <f>IFERROR(VLOOKUP($D129,Population!$B$5:$Y$174,24,FALSE),0)</f>
        <v>0</v>
      </c>
    </row>
    <row r="130" spans="1:29" ht="15" x14ac:dyDescent="0.25">
      <c r="A130" s="2" t="s">
        <v>20</v>
      </c>
      <c r="B130" s="2" t="s">
        <v>607</v>
      </c>
      <c r="C130" s="2" t="s">
        <v>483</v>
      </c>
      <c r="D130" s="2">
        <v>7745</v>
      </c>
      <c r="E130" s="11">
        <v>2022</v>
      </c>
      <c r="F130" s="12">
        <f>VLOOKUP($D130,'2022Data to Complete Appendix C'!$C$8:$Q$313,2,FALSE)</f>
        <v>709</v>
      </c>
      <c r="G130" s="12">
        <f>VLOOKUP($D130,'2022Data to Complete Appendix C'!$C$8:$Q$313,3,FALSE)</f>
        <v>297</v>
      </c>
      <c r="H130" s="12">
        <f>VLOOKUP($D130,'2022Data to Complete Appendix C'!$C$8:$Q$313,4,FALSE)</f>
        <v>186</v>
      </c>
      <c r="I130" s="12">
        <f>VLOOKUP($D130,'2022Data to Complete Appendix C'!$C$8:$Q$313,5,FALSE)</f>
        <v>365</v>
      </c>
      <c r="J130" s="114">
        <f>VLOOKUP($D130,'2022Data to Complete Appendix C'!$C$8:$Q$313,6,FALSE)</f>
        <v>2.3872100000000001</v>
      </c>
      <c r="K130" s="114">
        <f>VLOOKUP($D130,'2022Data to Complete Appendix C'!$C$8:$Q$313,7,FALSE)</f>
        <v>1.95</v>
      </c>
      <c r="L130" s="114">
        <f>VLOOKUP($D130,'2022Data to Complete Appendix C'!$C$8:$Q$313,8,FALSE)</f>
        <v>1.0617399999999999</v>
      </c>
      <c r="M130" s="12">
        <f>VLOOKUP($D130,'2022Data to Complete Appendix C'!$C$8:$Q$313,9,FALSE)</f>
        <v>22.449100000000001</v>
      </c>
      <c r="N130" s="114">
        <f>VLOOKUP($D130,'2022Data to Complete Appendix C'!$C$8:$Q$313,10,FALSE)</f>
        <v>7.0274500000000004E-2</v>
      </c>
      <c r="O130" s="115">
        <f>VLOOKUP($D130,'2022Data to Complete Appendix C'!$C$8:$Q$313,11,FALSE)</f>
        <v>0.56699999999999995</v>
      </c>
      <c r="P130" s="115">
        <f>VLOOKUP($D130,'2022Data to Complete Appendix C'!$C$8:$Q$313,12,FALSE)</f>
        <v>0.772675</v>
      </c>
      <c r="Q130" s="115">
        <f>VLOOKUP($D130,'2022Data to Complete Appendix C'!$C$8:$Q$313,13,FALSE)</f>
        <v>0.74399999999999999</v>
      </c>
      <c r="R130" s="114">
        <f>VLOOKUP($D130,'2022Data to Complete Appendix C'!$C$8:$Q$313,14,FALSE)</f>
        <v>2.2999999999999998</v>
      </c>
      <c r="S130" s="115">
        <f>VLOOKUP($D130,'2022Data to Complete Appendix C'!$C$8:$Q$313,15,FALSE)</f>
        <v>-0.29533700000000002</v>
      </c>
      <c r="T130" s="12">
        <f>IFERROR(VLOOKUP($D130,'2022LodgingbyWUP'!$A$1:$D$98,4,FALSE),0)</f>
        <v>0</v>
      </c>
      <c r="U130" s="12">
        <f t="shared" si="3"/>
        <v>0</v>
      </c>
      <c r="V130" s="12">
        <f>IFERROR(VLOOKUP($D130,Total_DU!$B$5:$Z$174,22,0),0)</f>
        <v>0</v>
      </c>
      <c r="W130" s="12">
        <f>IFERROR(VLOOKUP($D130,Total_DU!$B$5:$Z$174,23,0),0)</f>
        <v>0</v>
      </c>
      <c r="X130" s="12">
        <f>IFERROR(VLOOKUP($D130,Total_DU!$B$5:$Z$174,24,0),0)</f>
        <v>0</v>
      </c>
      <c r="Y130" s="12">
        <f>IFERROR(VLOOKUP($D130,Total_DU!$B$5:$Z$174,25,0),0)</f>
        <v>0</v>
      </c>
      <c r="Z130" s="12">
        <f>IFERROR(VLOOKUP($D130,Population!$B$5:$Y$174,21,FALSE),0)</f>
        <v>0</v>
      </c>
      <c r="AA130" s="12">
        <f>IFERROR(VLOOKUP($D130,Population!$B$5:$Y$174,22,FALSE),0)</f>
        <v>0</v>
      </c>
      <c r="AB130" s="12">
        <f>IFERROR(VLOOKUP($D130,Population!$B$5:$Y$174,23,FALSE),0)</f>
        <v>0</v>
      </c>
      <c r="AC130" s="12">
        <f>IFERROR(VLOOKUP($D130,Population!$B$5:$Y$174,24,FALSE),0)</f>
        <v>0</v>
      </c>
    </row>
    <row r="131" spans="1:29" ht="15" x14ac:dyDescent="0.25">
      <c r="A131" s="11" t="s">
        <v>20</v>
      </c>
      <c r="B131" s="11" t="s">
        <v>608</v>
      </c>
      <c r="C131" s="11" t="s">
        <v>483</v>
      </c>
      <c r="D131" s="11">
        <v>7999</v>
      </c>
      <c r="E131" s="11">
        <v>2022</v>
      </c>
      <c r="F131" s="12">
        <f>VLOOKUP($D131,'2022Data to Complete Appendix C'!$C$8:$Q$313,2,FALSE)</f>
        <v>4400</v>
      </c>
      <c r="G131" s="12">
        <f>VLOOKUP($D131,'2022Data to Complete Appendix C'!$C$8:$Q$313,3,FALSE)</f>
        <v>1594</v>
      </c>
      <c r="H131" s="12">
        <f>VLOOKUP($D131,'2022Data to Complete Appendix C'!$C$8:$Q$313,4,FALSE)</f>
        <v>0</v>
      </c>
      <c r="I131" s="12">
        <f>VLOOKUP($D131,'2022Data to Complete Appendix C'!$C$8:$Q$313,5,FALSE)</f>
        <v>1750</v>
      </c>
      <c r="J131" s="114">
        <f>VLOOKUP($D131,'2022Data to Complete Appendix C'!$C$8:$Q$313,6,FALSE)</f>
        <v>2.7603499999999999</v>
      </c>
      <c r="K131" s="114">
        <f>VLOOKUP($D131,'2022Data to Complete Appendix C'!$C$8:$Q$313,7,FALSE)</f>
        <v>1.95</v>
      </c>
      <c r="L131" s="114">
        <f>VLOOKUP($D131,'2022Data to Complete Appendix C'!$C$8:$Q$313,8,FALSE)</f>
        <v>1</v>
      </c>
      <c r="M131" s="12">
        <f>VLOOKUP($D131,'2022Data to Complete Appendix C'!$C$8:$Q$313,9,FALSE)</f>
        <v>0</v>
      </c>
      <c r="N131" s="114">
        <f>VLOOKUP($D131,'2022Data to Complete Appendix C'!$C$8:$Q$313,10,FALSE)</f>
        <v>0</v>
      </c>
      <c r="O131" s="115">
        <f>VLOOKUP($D131,'2022Data to Complete Appendix C'!$C$8:$Q$313,11,FALSE)</f>
        <v>0.56699999999999995</v>
      </c>
      <c r="P131" s="115">
        <f>VLOOKUP($D131,'2022Data to Complete Appendix C'!$C$8:$Q$313,12,FALSE)</f>
        <v>0.772675</v>
      </c>
      <c r="Q131" s="115">
        <f>VLOOKUP($D131,'2022Data to Complete Appendix C'!$C$8:$Q$313,13,FALSE)</f>
        <v>0.74399999999999999</v>
      </c>
      <c r="R131" s="114">
        <f>VLOOKUP($D131,'2022Data to Complete Appendix C'!$C$8:$Q$313,14,FALSE)</f>
        <v>2.2999999999999998</v>
      </c>
      <c r="S131" s="115">
        <f>VLOOKUP($D131,'2022Data to Complete Appendix C'!$C$8:$Q$313,15,FALSE)</f>
        <v>-0.61721800000000004</v>
      </c>
      <c r="T131" s="12">
        <f>IFERROR(VLOOKUP($D131,'2022LodgingbyWUP'!$A$1:$D$98,4,FALSE),0)</f>
        <v>0</v>
      </c>
      <c r="U131" s="12">
        <f t="shared" si="3"/>
        <v>0</v>
      </c>
      <c r="V131" s="12">
        <f>IFERROR(VLOOKUP($D131,Total_DU!$B$5:$Z$174,22,0),0)</f>
        <v>728</v>
      </c>
      <c r="W131" s="12">
        <f>IFERROR(VLOOKUP($D131,Total_DU!$B$5:$Z$174,23,0),0)</f>
        <v>727</v>
      </c>
      <c r="X131" s="12">
        <f>IFERROR(VLOOKUP($D131,Total_DU!$B$5:$Z$174,24,0),0)</f>
        <v>734</v>
      </c>
      <c r="Y131" s="12">
        <f>IFERROR(VLOOKUP($D131,Total_DU!$B$5:$Z$174,25,0),0)</f>
        <v>738</v>
      </c>
      <c r="Z131" s="12">
        <f>IFERROR(VLOOKUP($D131,Population!$B$5:$Y$174,21,FALSE),0)</f>
        <v>2009.5347999999999</v>
      </c>
      <c r="AA131" s="12">
        <f>IFERROR(VLOOKUP($D131,Population!$B$5:$Y$174,22,FALSE),0)</f>
        <v>2006.7744499999999</v>
      </c>
      <c r="AB131" s="12">
        <f>IFERROR(VLOOKUP($D131,Population!$B$5:$Y$174,23,FALSE),0)</f>
        <v>2026.0968918800354</v>
      </c>
      <c r="AC131" s="12">
        <f>IFERROR(VLOOKUP($D131,Population!$B$5:$Y$174,24,FALSE),0)</f>
        <v>2037</v>
      </c>
    </row>
    <row r="132" spans="1:29" ht="15" x14ac:dyDescent="0.25">
      <c r="A132" s="2" t="s">
        <v>20</v>
      </c>
      <c r="B132" s="2" t="s">
        <v>609</v>
      </c>
      <c r="C132" s="2" t="s">
        <v>483</v>
      </c>
      <c r="D132" s="2">
        <v>8417</v>
      </c>
      <c r="E132" s="11">
        <v>2022</v>
      </c>
      <c r="F132" s="12">
        <f>VLOOKUP($D132,'2022Data to Complete Appendix C'!$C$8:$Q$313,2,FALSE)</f>
        <v>7363</v>
      </c>
      <c r="G132" s="12">
        <f>VLOOKUP($D132,'2022Data to Complete Appendix C'!$C$8:$Q$313,3,FALSE)</f>
        <v>3202</v>
      </c>
      <c r="H132" s="12">
        <f>VLOOKUP($D132,'2022Data to Complete Appendix C'!$C$8:$Q$313,4,FALSE)</f>
        <v>14</v>
      </c>
      <c r="I132" s="12">
        <f>VLOOKUP($D132,'2022Data to Complete Appendix C'!$C$8:$Q$313,5,FALSE)</f>
        <v>4180</v>
      </c>
      <c r="J132" s="114">
        <f>VLOOKUP($D132,'2022Data to Complete Appendix C'!$C$8:$Q$313,6,FALSE)</f>
        <v>2.2995000000000001</v>
      </c>
      <c r="K132" s="114">
        <f>VLOOKUP($D132,'2022Data to Complete Appendix C'!$C$8:$Q$313,7,FALSE)</f>
        <v>1.95</v>
      </c>
      <c r="L132" s="114">
        <f>VLOOKUP($D132,'2022Data to Complete Appendix C'!$C$8:$Q$313,8,FALSE)</f>
        <v>1.00709</v>
      </c>
      <c r="M132" s="12">
        <f>VLOOKUP($D132,'2022Data to Complete Appendix C'!$C$8:$Q$313,9,FALSE)</f>
        <v>26.786200000000001</v>
      </c>
      <c r="N132" s="114">
        <f>VLOOKUP($D132,'2022Data to Complete Appendix C'!$C$8:$Q$313,10,FALSE)</f>
        <v>8.2960699999999991E-3</v>
      </c>
      <c r="O132" s="115">
        <f>VLOOKUP($D132,'2022Data to Complete Appendix C'!$C$8:$Q$313,11,FALSE)</f>
        <v>0.56699999999999995</v>
      </c>
      <c r="P132" s="115">
        <f>VLOOKUP($D132,'2022Data to Complete Appendix C'!$C$8:$Q$313,12,FALSE)</f>
        <v>0.772675</v>
      </c>
      <c r="Q132" s="115">
        <f>VLOOKUP($D132,'2022Data to Complete Appendix C'!$C$8:$Q$313,13,FALSE)</f>
        <v>0.74399999999999999</v>
      </c>
      <c r="R132" s="114">
        <f>VLOOKUP($D132,'2022Data to Complete Appendix C'!$C$8:$Q$313,14,FALSE)</f>
        <v>2.2999999999999998</v>
      </c>
      <c r="S132" s="115">
        <f>VLOOKUP($D132,'2022Data to Complete Appendix C'!$C$8:$Q$313,15,FALSE)</f>
        <v>-0.23164299999999999</v>
      </c>
      <c r="T132" s="12">
        <f>IFERROR(VLOOKUP($D132,'2022LodgingbyWUP'!$A$1:$D$98,4,FALSE),0)</f>
        <v>145</v>
      </c>
      <c r="U132" s="12">
        <f t="shared" si="3"/>
        <v>248.12399999999997</v>
      </c>
      <c r="V132" s="12">
        <f>IFERROR(VLOOKUP($D132,Total_DU!$B$5:$Z$174,22,0),0)</f>
        <v>3368</v>
      </c>
      <c r="W132" s="12">
        <f>IFERROR(VLOOKUP($D132,Total_DU!$B$5:$Z$174,23,0),0)</f>
        <v>3369</v>
      </c>
      <c r="X132" s="12">
        <f>IFERROR(VLOOKUP($D132,Total_DU!$B$5:$Z$174,24,0),0)</f>
        <v>3373</v>
      </c>
      <c r="Y132" s="12">
        <f>IFERROR(VLOOKUP($D132,Total_DU!$B$5:$Z$174,25,0),0)</f>
        <v>3376</v>
      </c>
      <c r="Z132" s="12">
        <f>IFERROR(VLOOKUP($D132,Population!$B$5:$Y$174,21,FALSE),0)</f>
        <v>7961.9126217751482</v>
      </c>
      <c r="AA132" s="12">
        <f>IFERROR(VLOOKUP($D132,Population!$B$5:$Y$174,22,FALSE),0)</f>
        <v>7959.345243122073</v>
      </c>
      <c r="AB132" s="12">
        <f>IFERROR(VLOOKUP($D132,Population!$B$5:$Y$174,23,FALSE),0)</f>
        <v>7965.5365096848655</v>
      </c>
      <c r="AC132" s="12">
        <f>IFERROR(VLOOKUP($D132,Population!$B$5:$Y$174,24,FALSE),0)</f>
        <v>7933</v>
      </c>
    </row>
    <row r="133" spans="1:29" ht="15" x14ac:dyDescent="0.25">
      <c r="A133" s="11" t="s">
        <v>20</v>
      </c>
      <c r="B133" s="11" t="s">
        <v>610</v>
      </c>
      <c r="C133" s="11" t="s">
        <v>5</v>
      </c>
      <c r="D133" s="11">
        <v>8491</v>
      </c>
      <c r="E133" s="11">
        <v>2022</v>
      </c>
      <c r="F133" s="12">
        <f>VLOOKUP($D133,'2022Data to Complete Appendix C'!$C$8:$Q$313,2,FALSE)</f>
        <v>647</v>
      </c>
      <c r="G133" s="12">
        <f>VLOOKUP($D133,'2022Data to Complete Appendix C'!$C$8:$Q$313,3,FALSE)</f>
        <v>314</v>
      </c>
      <c r="H133" s="12">
        <f>VLOOKUP($D133,'2022Data to Complete Appendix C'!$C$8:$Q$313,4,FALSE)</f>
        <v>0</v>
      </c>
      <c r="I133" s="12">
        <f>VLOOKUP($D133,'2022Data to Complete Appendix C'!$C$8:$Q$313,5,FALSE)</f>
        <v>569</v>
      </c>
      <c r="J133" s="114">
        <f>VLOOKUP($D133,'2022Data to Complete Appendix C'!$C$8:$Q$313,6,FALSE)</f>
        <v>2.0605099999999998</v>
      </c>
      <c r="K133" s="114">
        <f>VLOOKUP($D133,'2022Data to Complete Appendix C'!$C$8:$Q$313,7,FALSE)</f>
        <v>1.95</v>
      </c>
      <c r="L133" s="114">
        <f>VLOOKUP($D133,'2022Data to Complete Appendix C'!$C$8:$Q$313,8,FALSE)</f>
        <v>1.4805299999999999</v>
      </c>
      <c r="M133" s="12">
        <f>VLOOKUP($D133,'2022Data to Complete Appendix C'!$C$8:$Q$313,9,FALSE)</f>
        <v>159.43700000000001</v>
      </c>
      <c r="N133" s="114">
        <f>VLOOKUP($D133,'2022Data to Complete Appendix C'!$C$8:$Q$313,10,FALSE)</f>
        <v>0.33676499999999998</v>
      </c>
      <c r="O133" s="115">
        <f>VLOOKUP($D133,'2022Data to Complete Appendix C'!$C$8:$Q$313,11,FALSE)</f>
        <v>0.56699999999999995</v>
      </c>
      <c r="P133" s="115">
        <f>VLOOKUP($D133,'2022Data to Complete Appendix C'!$C$8:$Q$313,12,FALSE)</f>
        <v>0.772675</v>
      </c>
      <c r="Q133" s="115">
        <f>VLOOKUP($D133,'2022Data to Complete Appendix C'!$C$8:$Q$313,13,FALSE)</f>
        <v>0.74399999999999999</v>
      </c>
      <c r="R133" s="114">
        <f>VLOOKUP($D133,'2022Data to Complete Appendix C'!$C$8:$Q$313,14,FALSE)</f>
        <v>2.2999999999999998</v>
      </c>
      <c r="S133" s="115">
        <f>VLOOKUP($D133,'2022Data to Complete Appendix C'!$C$8:$Q$313,15,FALSE)</f>
        <v>-0.121951</v>
      </c>
      <c r="T133" s="12">
        <f>IFERROR(VLOOKUP($D133,'2022LodgingbyWUP'!$A$1:$D$98,4,FALSE),0)</f>
        <v>0</v>
      </c>
      <c r="U133" s="12">
        <f t="shared" si="3"/>
        <v>0</v>
      </c>
      <c r="V133" s="12">
        <f>IFERROR(VLOOKUP($D133,Total_DU!$B$5:$Z$174,22,0),0)</f>
        <v>0</v>
      </c>
      <c r="W133" s="12">
        <f>IFERROR(VLOOKUP($D133,Total_DU!$B$5:$Z$174,23,0),0)</f>
        <v>0</v>
      </c>
      <c r="X133" s="12">
        <f>IFERROR(VLOOKUP($D133,Total_DU!$B$5:$Z$174,24,0),0)</f>
        <v>0</v>
      </c>
      <c r="Y133" s="12">
        <f>IFERROR(VLOOKUP($D133,Total_DU!$B$5:$Z$174,25,0),0)</f>
        <v>0</v>
      </c>
      <c r="Z133" s="12">
        <f>IFERROR(VLOOKUP($D133,Population!$B$5:$Y$174,21,FALSE),0)</f>
        <v>0</v>
      </c>
      <c r="AA133" s="12">
        <f>IFERROR(VLOOKUP($D133,Population!$B$5:$Y$174,22,FALSE),0)</f>
        <v>0</v>
      </c>
      <c r="AB133" s="12">
        <f>IFERROR(VLOOKUP($D133,Population!$B$5:$Y$174,23,FALSE),0)</f>
        <v>0</v>
      </c>
      <c r="AC133" s="12">
        <f>IFERROR(VLOOKUP($D133,Population!$B$5:$Y$174,24,FALSE),0)</f>
        <v>0</v>
      </c>
    </row>
    <row r="134" spans="1:29" ht="15" x14ac:dyDescent="0.25">
      <c r="A134" s="2" t="s">
        <v>20</v>
      </c>
      <c r="B134" s="2" t="s">
        <v>611</v>
      </c>
      <c r="C134" s="2" t="s">
        <v>154</v>
      </c>
      <c r="D134" s="2">
        <v>9666</v>
      </c>
      <c r="E134" s="11">
        <v>2022</v>
      </c>
      <c r="F134" s="12">
        <f>VLOOKUP($D134,'2022Data to Complete Appendix C'!$C$8:$Q$313,2,FALSE)</f>
        <v>640</v>
      </c>
      <c r="G134" s="12">
        <f>VLOOKUP($D134,'2022Data to Complete Appendix C'!$C$8:$Q$313,3,FALSE)</f>
        <v>321</v>
      </c>
      <c r="H134" s="12">
        <f>VLOOKUP($D134,'2022Data to Complete Appendix C'!$C$8:$Q$313,4,FALSE)</f>
        <v>0</v>
      </c>
      <c r="I134" s="12">
        <f>VLOOKUP($D134,'2022Data to Complete Appendix C'!$C$8:$Q$313,5,FALSE)</f>
        <v>381</v>
      </c>
      <c r="J134" s="114">
        <f>VLOOKUP($D134,'2022Data to Complete Appendix C'!$C$8:$Q$313,6,FALSE)</f>
        <v>1.99377</v>
      </c>
      <c r="K134" s="114">
        <f>VLOOKUP($D134,'2022Data to Complete Appendix C'!$C$8:$Q$313,7,FALSE)</f>
        <v>1.95</v>
      </c>
      <c r="L134" s="114">
        <f>VLOOKUP($D134,'2022Data to Complete Appendix C'!$C$8:$Q$313,8,FALSE)</f>
        <v>1.0705499999999999</v>
      </c>
      <c r="M134" s="12">
        <f>VLOOKUP($D134,'2022Data to Complete Appendix C'!$C$8:$Q$313,9,FALSE)</f>
        <v>23.154499999999999</v>
      </c>
      <c r="N134" s="114">
        <f>VLOOKUP($D134,'2022Data to Complete Appendix C'!$C$8:$Q$313,10,FALSE)</f>
        <v>6.7279500000000006E-2</v>
      </c>
      <c r="O134" s="115">
        <f>VLOOKUP($D134,'2022Data to Complete Appendix C'!$C$8:$Q$313,11,FALSE)</f>
        <v>0.56699999999999995</v>
      </c>
      <c r="P134" s="115">
        <f>VLOOKUP($D134,'2022Data to Complete Appendix C'!$C$8:$Q$313,12,FALSE)</f>
        <v>0.772675</v>
      </c>
      <c r="Q134" s="115">
        <f>VLOOKUP($D134,'2022Data to Complete Appendix C'!$C$8:$Q$313,13,FALSE)</f>
        <v>0.74399999999999999</v>
      </c>
      <c r="R134" s="114">
        <f>VLOOKUP($D134,'2022Data to Complete Appendix C'!$C$8:$Q$313,14,FALSE)</f>
        <v>2.2999999999999998</v>
      </c>
      <c r="S134" s="115">
        <f>VLOOKUP($D134,'2022Data to Complete Appendix C'!$C$8:$Q$313,15,FALSE)</f>
        <v>-0.105003</v>
      </c>
      <c r="T134" s="12">
        <f>IFERROR(VLOOKUP($D134,'2022LodgingbyWUP'!$A$1:$D$98,4,FALSE),0)</f>
        <v>0</v>
      </c>
      <c r="U134" s="12">
        <f t="shared" si="3"/>
        <v>0</v>
      </c>
      <c r="V134" s="12">
        <f>IFERROR(VLOOKUP($D134,Total_DU!$B$5:$Z$174,22,0),0)</f>
        <v>0</v>
      </c>
      <c r="W134" s="12">
        <f>IFERROR(VLOOKUP($D134,Total_DU!$B$5:$Z$174,23,0),0)</f>
        <v>0</v>
      </c>
      <c r="X134" s="12">
        <f>IFERROR(VLOOKUP($D134,Total_DU!$B$5:$Z$174,24,0),0)</f>
        <v>0</v>
      </c>
      <c r="Y134" s="12">
        <f>IFERROR(VLOOKUP($D134,Total_DU!$B$5:$Z$174,25,0),0)</f>
        <v>0</v>
      </c>
      <c r="Z134" s="12">
        <f>IFERROR(VLOOKUP($D134,Population!$B$5:$Y$174,21,FALSE),0)</f>
        <v>0</v>
      </c>
      <c r="AA134" s="12">
        <f>IFERROR(VLOOKUP($D134,Population!$B$5:$Y$174,22,FALSE),0)</f>
        <v>0</v>
      </c>
      <c r="AB134" s="12">
        <f>IFERROR(VLOOKUP($D134,Population!$B$5:$Y$174,23,FALSE),0)</f>
        <v>0</v>
      </c>
      <c r="AC134" s="12">
        <f>IFERROR(VLOOKUP($D134,Population!$B$5:$Y$174,24,FALSE),0)</f>
        <v>0</v>
      </c>
    </row>
    <row r="135" spans="1:29" ht="15" x14ac:dyDescent="0.25">
      <c r="A135" s="11" t="s">
        <v>20</v>
      </c>
      <c r="B135" s="11" t="s">
        <v>612</v>
      </c>
      <c r="C135" s="11" t="s">
        <v>479</v>
      </c>
      <c r="D135" s="11">
        <v>11082</v>
      </c>
      <c r="E135" s="11">
        <v>2022</v>
      </c>
      <c r="F135" s="12">
        <f>VLOOKUP($D135,'2022Data to Complete Appendix C'!$C$8:$Q$313,2,FALSE)</f>
        <v>2496</v>
      </c>
      <c r="G135" s="12">
        <f>VLOOKUP($D135,'2022Data to Complete Appendix C'!$C$8:$Q$313,3,FALSE)</f>
        <v>1144</v>
      </c>
      <c r="H135" s="12">
        <f>VLOOKUP($D135,'2022Data to Complete Appendix C'!$C$8:$Q$313,4,FALSE)</f>
        <v>6</v>
      </c>
      <c r="I135" s="12">
        <f>VLOOKUP($D135,'2022Data to Complete Appendix C'!$C$8:$Q$313,5,FALSE)</f>
        <v>1506</v>
      </c>
      <c r="J135" s="114">
        <f>VLOOKUP($D135,'2022Data to Complete Appendix C'!$C$8:$Q$313,6,FALSE)</f>
        <v>2.1818200000000001</v>
      </c>
      <c r="K135" s="114">
        <f>VLOOKUP($D135,'2022Data to Complete Appendix C'!$C$8:$Q$313,7,FALSE)</f>
        <v>1.95</v>
      </c>
      <c r="L135" s="114">
        <f>VLOOKUP($D135,'2022Data to Complete Appendix C'!$C$8:$Q$313,8,FALSE)</f>
        <v>1.4805299999999999</v>
      </c>
      <c r="M135" s="12">
        <f>VLOOKUP($D135,'2022Data to Complete Appendix C'!$C$8:$Q$313,9,FALSE)</f>
        <v>615.07600000000002</v>
      </c>
      <c r="N135" s="114">
        <f>VLOOKUP($D135,'2022Data to Complete Appendix C'!$C$8:$Q$313,10,FALSE)</f>
        <v>0.349659</v>
      </c>
      <c r="O135" s="115">
        <f>VLOOKUP($D135,'2022Data to Complete Appendix C'!$C$8:$Q$313,11,FALSE)</f>
        <v>0.56699999999999995</v>
      </c>
      <c r="P135" s="115">
        <f>VLOOKUP($D135,'2022Data to Complete Appendix C'!$C$8:$Q$313,12,FALSE)</f>
        <v>0.772675</v>
      </c>
      <c r="Q135" s="115">
        <f>VLOOKUP($D135,'2022Data to Complete Appendix C'!$C$8:$Q$313,13,FALSE)</f>
        <v>0.74399999999999999</v>
      </c>
      <c r="R135" s="114">
        <f>VLOOKUP($D135,'2022Data to Complete Appendix C'!$C$8:$Q$313,14,FALSE)</f>
        <v>2.2999999999999998</v>
      </c>
      <c r="S135" s="115">
        <f>VLOOKUP($D135,'2022Data to Complete Appendix C'!$C$8:$Q$313,15,FALSE)</f>
        <v>-0.31300800000000001</v>
      </c>
      <c r="T135" s="12">
        <f>IFERROR(VLOOKUP($D135,'2022LodgingbyWUP'!$A$1:$D$98,4,FALSE),0)</f>
        <v>0</v>
      </c>
      <c r="U135" s="12">
        <f t="shared" si="3"/>
        <v>0</v>
      </c>
      <c r="V135" s="12">
        <f>IFERROR(VLOOKUP($D135,Total_DU!$B$5:$Z$174,22,0),0)</f>
        <v>0</v>
      </c>
      <c r="W135" s="12">
        <f>IFERROR(VLOOKUP($D135,Total_DU!$B$5:$Z$174,23,0),0)</f>
        <v>0</v>
      </c>
      <c r="X135" s="12">
        <f>IFERROR(VLOOKUP($D135,Total_DU!$B$5:$Z$174,24,0),0)</f>
        <v>0</v>
      </c>
      <c r="Y135" s="12">
        <f>IFERROR(VLOOKUP($D135,Total_DU!$B$5:$Z$174,25,0),0)</f>
        <v>0</v>
      </c>
      <c r="Z135" s="12">
        <f>IFERROR(VLOOKUP($D135,Population!$B$5:$Y$174,21,FALSE),0)</f>
        <v>0</v>
      </c>
      <c r="AA135" s="12">
        <f>IFERROR(VLOOKUP($D135,Population!$B$5:$Y$174,22,FALSE),0)</f>
        <v>0</v>
      </c>
      <c r="AB135" s="12">
        <f>IFERROR(VLOOKUP($D135,Population!$B$5:$Y$174,23,FALSE),0)</f>
        <v>0</v>
      </c>
      <c r="AC135" s="12">
        <f>IFERROR(VLOOKUP($D135,Population!$B$5:$Y$174,24,FALSE),0)</f>
        <v>0</v>
      </c>
    </row>
    <row r="136" spans="1:29" ht="15" x14ac:dyDescent="0.25">
      <c r="A136" s="2" t="s">
        <v>20</v>
      </c>
      <c r="B136" s="2" t="s">
        <v>613</v>
      </c>
      <c r="C136" s="2" t="s">
        <v>0</v>
      </c>
      <c r="D136" s="2">
        <v>11863</v>
      </c>
      <c r="E136" s="11">
        <v>2022</v>
      </c>
      <c r="F136" s="12">
        <f>VLOOKUP($D136,'2022Data to Complete Appendix C'!$C$8:$Q$313,2,FALSE)</f>
        <v>305372</v>
      </c>
      <c r="G136" s="12">
        <f>VLOOKUP($D136,'2022Data to Complete Appendix C'!$C$8:$Q$313,3,FALSE)</f>
        <v>123487</v>
      </c>
      <c r="H136" s="12">
        <f>VLOOKUP($D136,'2022Data to Complete Appendix C'!$C$8:$Q$313,4,FALSE)</f>
        <v>4097</v>
      </c>
      <c r="I136" s="12">
        <f>VLOOKUP($D136,'2022Data to Complete Appendix C'!$C$8:$Q$313,5,FALSE)</f>
        <v>146936</v>
      </c>
      <c r="J136" s="114">
        <f>VLOOKUP($D136,'2022Data to Complete Appendix C'!$C$8:$Q$313,6,FALSE)</f>
        <v>2.4729100000000002</v>
      </c>
      <c r="K136" s="114">
        <f>VLOOKUP($D136,'2022Data to Complete Appendix C'!$C$8:$Q$313,7,FALSE)</f>
        <v>1.95</v>
      </c>
      <c r="L136" s="114">
        <f>VLOOKUP($D136,'2022Data to Complete Appendix C'!$C$8:$Q$313,8,FALSE)</f>
        <v>1.0712900000000001</v>
      </c>
      <c r="M136" s="12">
        <f>VLOOKUP($D136,'2022Data to Complete Appendix C'!$C$8:$Q$313,9,FALSE)</f>
        <v>11164.7</v>
      </c>
      <c r="N136" s="114">
        <f>VLOOKUP($D136,'2022Data to Complete Appendix C'!$C$8:$Q$313,10,FALSE)</f>
        <v>8.2915500000000003E-2</v>
      </c>
      <c r="O136" s="115">
        <f>VLOOKUP($D136,'2022Data to Complete Appendix C'!$C$8:$Q$313,11,FALSE)</f>
        <v>0.56699999999999995</v>
      </c>
      <c r="P136" s="115">
        <f>VLOOKUP($D136,'2022Data to Complete Appendix C'!$C$8:$Q$313,12,FALSE)</f>
        <v>0.772675</v>
      </c>
      <c r="Q136" s="115">
        <f>VLOOKUP($D136,'2022Data to Complete Appendix C'!$C$8:$Q$313,13,FALSE)</f>
        <v>0.74399999999999999</v>
      </c>
      <c r="R136" s="114">
        <f>VLOOKUP($D136,'2022Data to Complete Appendix C'!$C$8:$Q$313,14,FALSE)</f>
        <v>2.2999999999999998</v>
      </c>
      <c r="S136" s="115">
        <f>VLOOKUP($D136,'2022Data to Complete Appendix C'!$C$8:$Q$313,15,FALSE)</f>
        <v>-0.38345200000000002</v>
      </c>
      <c r="T136" s="12">
        <f>IFERROR(VLOOKUP($D136,'2022LodgingbyWUP'!$A$1:$D$98,4,FALSE),0)</f>
        <v>3366</v>
      </c>
      <c r="U136" s="12">
        <f t="shared" si="3"/>
        <v>5759.8991999999998</v>
      </c>
      <c r="V136" s="12">
        <f>IFERROR(VLOOKUP($D136,Total_DU!$B$5:$Z$174,22,0),0)</f>
        <v>118275</v>
      </c>
      <c r="W136" s="12">
        <f>IFERROR(VLOOKUP($D136,Total_DU!$B$5:$Z$174,23,0),0)</f>
        <v>121188</v>
      </c>
      <c r="X136" s="12">
        <f>IFERROR(VLOOKUP($D136,Total_DU!$B$5:$Z$174,24,0),0)</f>
        <v>126749</v>
      </c>
      <c r="Y136" s="12">
        <f>IFERROR(VLOOKUP($D136,Total_DU!$B$5:$Z$174,25,0),0)</f>
        <v>135190</v>
      </c>
      <c r="Z136" s="12">
        <f>IFERROR(VLOOKUP($D136,Population!$B$5:$Y$174,21,FALSE),0)</f>
        <v>290199.79044932907</v>
      </c>
      <c r="AA136" s="12">
        <f>IFERROR(VLOOKUP($D136,Population!$B$5:$Y$174,22,FALSE),0)</f>
        <v>297290.47290409514</v>
      </c>
      <c r="AB136" s="12">
        <f>IFERROR(VLOOKUP($D136,Population!$B$5:$Y$174,23,FALSE),0)</f>
        <v>310502.21468423947</v>
      </c>
      <c r="AC136" s="12">
        <f>IFERROR(VLOOKUP($D136,Population!$B$5:$Y$174,24,FALSE),0)</f>
        <v>330615</v>
      </c>
    </row>
    <row r="137" spans="1:29" ht="15" x14ac:dyDescent="0.25">
      <c r="A137" s="11" t="s">
        <v>20</v>
      </c>
      <c r="B137" s="11" t="s">
        <v>614</v>
      </c>
      <c r="C137" s="11" t="s">
        <v>39</v>
      </c>
      <c r="D137" s="11">
        <v>99906</v>
      </c>
      <c r="E137" s="11">
        <v>2022</v>
      </c>
      <c r="F137" s="12">
        <f>VLOOKUP($D137,'2022Data to Complete Appendix C'!$C$8:$Q$313,2,FALSE)</f>
        <v>405</v>
      </c>
      <c r="G137" s="12">
        <f>VLOOKUP($D137,'2022Data to Complete Appendix C'!$C$8:$Q$313,3,FALSE)</f>
        <v>210</v>
      </c>
      <c r="H137" s="12">
        <f>VLOOKUP($D137,'2022Data to Complete Appendix C'!$C$8:$Q$313,4,FALSE)</f>
        <v>0</v>
      </c>
      <c r="I137" s="12">
        <f>VLOOKUP($D137,'2022Data to Complete Appendix C'!$C$8:$Q$313,5,FALSE)</f>
        <v>312</v>
      </c>
      <c r="J137" s="114">
        <f>VLOOKUP($D137,'2022Data to Complete Appendix C'!$C$8:$Q$313,6,FALSE)</f>
        <v>1.9285699999999999</v>
      </c>
      <c r="K137" s="114">
        <f>VLOOKUP($D137,'2022Data to Complete Appendix C'!$C$8:$Q$313,7,FALSE)</f>
        <v>1.95</v>
      </c>
      <c r="L137" s="114">
        <f>VLOOKUP($D137,'2022Data to Complete Appendix C'!$C$8:$Q$313,8,FALSE)</f>
        <v>1.4805299999999999</v>
      </c>
      <c r="M137" s="12">
        <f>VLOOKUP($D137,'2022Data to Complete Appendix C'!$C$8:$Q$313,9,FALSE)</f>
        <v>99.802000000000007</v>
      </c>
      <c r="N137" s="114">
        <f>VLOOKUP($D137,'2022Data to Complete Appendix C'!$C$8:$Q$313,10,FALSE)</f>
        <v>0.32214799999999999</v>
      </c>
      <c r="O137" s="115">
        <f>VLOOKUP($D137,'2022Data to Complete Appendix C'!$C$8:$Q$313,11,FALSE)</f>
        <v>0.56699999999999995</v>
      </c>
      <c r="P137" s="115">
        <f>VLOOKUP($D137,'2022Data to Complete Appendix C'!$C$8:$Q$313,12,FALSE)</f>
        <v>0.772675</v>
      </c>
      <c r="Q137" s="115">
        <f>VLOOKUP($D137,'2022Data to Complete Appendix C'!$C$8:$Q$313,13,FALSE)</f>
        <v>0.74399999999999999</v>
      </c>
      <c r="R137" s="114">
        <f>VLOOKUP($D137,'2022Data to Complete Appendix C'!$C$8:$Q$313,14,FALSE)</f>
        <v>2.2999999999999998</v>
      </c>
      <c r="S137" s="115">
        <f>VLOOKUP($D137,'2022Data to Complete Appendix C'!$C$8:$Q$313,15,FALSE)</f>
        <v>-0.58536600000000005</v>
      </c>
      <c r="T137" s="12">
        <f>IFERROR(VLOOKUP($D137,'2022LodgingbyWUP'!$A$1:$D$98,4,FALSE),0)</f>
        <v>0</v>
      </c>
      <c r="U137" s="12">
        <f t="shared" si="3"/>
        <v>0</v>
      </c>
      <c r="V137" s="12">
        <f>IFERROR(VLOOKUP($D137,Total_DU!$B$5:$Z$174,22,0),0)</f>
        <v>0</v>
      </c>
      <c r="W137" s="12">
        <f>IFERROR(VLOOKUP($D137,Total_DU!$B$5:$Z$174,23,0),0)</f>
        <v>0</v>
      </c>
      <c r="X137" s="12">
        <f>IFERROR(VLOOKUP($D137,Total_DU!$B$5:$Z$174,24,0),0)</f>
        <v>0</v>
      </c>
      <c r="Y137" s="12">
        <f>IFERROR(VLOOKUP($D137,Total_DU!$B$5:$Z$174,25,0),0)</f>
        <v>0</v>
      </c>
      <c r="Z137" s="12">
        <f>IFERROR(VLOOKUP($D137,Population!$B$5:$Y$174,21,FALSE),0)</f>
        <v>0</v>
      </c>
      <c r="AA137" s="12">
        <f>IFERROR(VLOOKUP($D137,Population!$B$5:$Y$174,22,FALSE),0)</f>
        <v>0</v>
      </c>
      <c r="AB137" s="12">
        <f>IFERROR(VLOOKUP($D137,Population!$B$5:$Y$174,23,FALSE),0)</f>
        <v>0</v>
      </c>
      <c r="AC137" s="12">
        <f>IFERROR(VLOOKUP($D137,Population!$B$5:$Y$174,24,FALSE),0)</f>
        <v>0</v>
      </c>
    </row>
    <row r="138" spans="1:29" ht="15" x14ac:dyDescent="0.25">
      <c r="A138" s="2" t="s">
        <v>20</v>
      </c>
      <c r="B138" s="2" t="s">
        <v>615</v>
      </c>
      <c r="C138" s="2" t="s">
        <v>133</v>
      </c>
      <c r="D138" s="2">
        <v>99915</v>
      </c>
      <c r="E138" s="11">
        <v>2022</v>
      </c>
      <c r="F138" s="12">
        <f>VLOOKUP($D138,'2022Data to Complete Appendix C'!$C$8:$Q$313,2,FALSE)</f>
        <v>112</v>
      </c>
      <c r="G138" s="12">
        <f>VLOOKUP($D138,'2022Data to Complete Appendix C'!$C$8:$Q$313,3,FALSE)</f>
        <v>59</v>
      </c>
      <c r="H138" s="12">
        <f>VLOOKUP($D138,'2022Data to Complete Appendix C'!$C$8:$Q$313,4,FALSE)</f>
        <v>0</v>
      </c>
      <c r="I138" s="12">
        <f>VLOOKUP($D138,'2022Data to Complete Appendix C'!$C$8:$Q$313,5,FALSE)</f>
        <v>143</v>
      </c>
      <c r="J138" s="114">
        <f>VLOOKUP($D138,'2022Data to Complete Appendix C'!$C$8:$Q$313,6,FALSE)</f>
        <v>1.8983099999999999</v>
      </c>
      <c r="K138" s="114">
        <f>VLOOKUP($D138,'2022Data to Complete Appendix C'!$C$8:$Q$313,7,FALSE)</f>
        <v>1.95</v>
      </c>
      <c r="L138" s="114">
        <f>VLOOKUP($D138,'2022Data to Complete Appendix C'!$C$8:$Q$313,8,FALSE)</f>
        <v>1.0617399999999999</v>
      </c>
      <c r="M138" s="12">
        <f>VLOOKUP($D138,'2022Data to Complete Appendix C'!$C$8:$Q$313,9,FALSE)</f>
        <v>3.5462600000000002</v>
      </c>
      <c r="N138" s="114">
        <f>VLOOKUP($D138,'2022Data to Complete Appendix C'!$C$8:$Q$313,10,FALSE)</f>
        <v>5.66983E-2</v>
      </c>
      <c r="O138" s="115">
        <f>VLOOKUP($D138,'2022Data to Complete Appendix C'!$C$8:$Q$313,11,FALSE)</f>
        <v>0.56699999999999995</v>
      </c>
      <c r="P138" s="115">
        <f>VLOOKUP($D138,'2022Data to Complete Appendix C'!$C$8:$Q$313,12,FALSE)</f>
        <v>0.772675</v>
      </c>
      <c r="Q138" s="115">
        <f>VLOOKUP($D138,'2022Data to Complete Appendix C'!$C$8:$Q$313,13,FALSE)</f>
        <v>0.74399999999999999</v>
      </c>
      <c r="R138" s="114">
        <f>VLOOKUP($D138,'2022Data to Complete Appendix C'!$C$8:$Q$313,14,FALSE)</f>
        <v>2.2999999999999998</v>
      </c>
      <c r="S138" s="115">
        <f>VLOOKUP($D138,'2022Data to Complete Appendix C'!$C$8:$Q$313,15,FALSE)</f>
        <v>0.50835200000000003</v>
      </c>
      <c r="T138" s="12">
        <f>IFERROR(VLOOKUP($D138,'2022LodgingbyWUP'!$A$1:$D$98,4,FALSE),0)</f>
        <v>0</v>
      </c>
      <c r="U138" s="12">
        <f t="shared" si="3"/>
        <v>0</v>
      </c>
      <c r="V138" s="12">
        <f>IFERROR(VLOOKUP($D138,Total_DU!$B$5:$Z$174,22,0),0)</f>
        <v>0</v>
      </c>
      <c r="W138" s="12">
        <f>IFERROR(VLOOKUP($D138,Total_DU!$B$5:$Z$174,23,0),0)</f>
        <v>0</v>
      </c>
      <c r="X138" s="12">
        <f>IFERROR(VLOOKUP($D138,Total_DU!$B$5:$Z$174,24,0),0)</f>
        <v>0</v>
      </c>
      <c r="Y138" s="12">
        <f>IFERROR(VLOOKUP($D138,Total_DU!$B$5:$Z$174,25,0),0)</f>
        <v>0</v>
      </c>
      <c r="Z138" s="12">
        <f>IFERROR(VLOOKUP($D138,Population!$B$5:$Y$174,21,FALSE),0)</f>
        <v>0</v>
      </c>
      <c r="AA138" s="12">
        <f>IFERROR(VLOOKUP($D138,Population!$B$5:$Y$174,22,FALSE),0)</f>
        <v>0</v>
      </c>
      <c r="AB138" s="12">
        <f>IFERROR(VLOOKUP($D138,Population!$B$5:$Y$174,23,FALSE),0)</f>
        <v>0</v>
      </c>
      <c r="AC138" s="12">
        <f>IFERROR(VLOOKUP($D138,Population!$B$5:$Y$174,24,FALSE),0)</f>
        <v>0</v>
      </c>
    </row>
    <row r="139" spans="1:29" ht="15" x14ac:dyDescent="0.25">
      <c r="A139" s="11" t="s">
        <v>21</v>
      </c>
      <c r="B139" s="11" t="s">
        <v>616</v>
      </c>
      <c r="C139" s="11" t="s">
        <v>87</v>
      </c>
      <c r="D139" s="11">
        <v>742</v>
      </c>
      <c r="E139" s="11">
        <v>2022</v>
      </c>
      <c r="F139" s="12">
        <f>VLOOKUP($D139,'2022Data to Complete Appendix C'!$C$8:$Q$313,2,FALSE)</f>
        <v>27683</v>
      </c>
      <c r="G139" s="12">
        <f>VLOOKUP($D139,'2022Data to Complete Appendix C'!$C$8:$Q$313,3,FALSE)</f>
        <v>12279</v>
      </c>
      <c r="H139" s="12">
        <f>VLOOKUP($D139,'2022Data to Complete Appendix C'!$C$8:$Q$313,4,FALSE)</f>
        <v>462</v>
      </c>
      <c r="I139" s="12">
        <f>VLOOKUP($D139,'2022Data to Complete Appendix C'!$C$8:$Q$313,5,FALSE)</f>
        <v>14943</v>
      </c>
      <c r="J139" s="114">
        <f>VLOOKUP($D139,'2022Data to Complete Appendix C'!$C$8:$Q$313,6,FALSE)</f>
        <v>2.2545000000000002</v>
      </c>
      <c r="K139" s="114">
        <f>VLOOKUP($D139,'2022Data to Complete Appendix C'!$C$8:$Q$313,7,FALSE)</f>
        <v>1.95</v>
      </c>
      <c r="L139" s="114">
        <f>VLOOKUP($D139,'2022Data to Complete Appendix C'!$C$8:$Q$313,8,FALSE)</f>
        <v>1.0103</v>
      </c>
      <c r="M139" s="12">
        <f>VLOOKUP($D139,'2022Data to Complete Appendix C'!$C$8:$Q$313,9,FALSE)</f>
        <v>146.209</v>
      </c>
      <c r="N139" s="114">
        <f>VLOOKUP($D139,'2022Data to Complete Appendix C'!$C$8:$Q$313,10,FALSE)</f>
        <v>1.1767100000000001E-2</v>
      </c>
      <c r="O139" s="115">
        <f>VLOOKUP($D139,'2022Data to Complete Appendix C'!$C$8:$Q$313,11,FALSE)</f>
        <v>0.442</v>
      </c>
      <c r="P139" s="115">
        <f>VLOOKUP($D139,'2022Data to Complete Appendix C'!$C$8:$Q$313,12,FALSE)</f>
        <v>0.70704999999999996</v>
      </c>
      <c r="Q139" s="115">
        <f>VLOOKUP($D139,'2022Data to Complete Appendix C'!$C$8:$Q$313,13,FALSE)</f>
        <v>0.68899999999999995</v>
      </c>
      <c r="R139" s="114">
        <f>VLOOKUP($D139,'2022Data to Complete Appendix C'!$C$8:$Q$313,14,FALSE)</f>
        <v>2.7</v>
      </c>
      <c r="S139" s="115">
        <f>VLOOKUP($D139,'2022Data to Complete Appendix C'!$C$8:$Q$313,15,FALSE)</f>
        <v>-1.42939E-3</v>
      </c>
      <c r="T139" s="12">
        <f>IFERROR(VLOOKUP($D139,'2022LodgingbyWUP'!$A$1:$D$98,4,FALSE),0)</f>
        <v>334</v>
      </c>
      <c r="U139" s="12">
        <f t="shared" si="3"/>
        <v>621.34019999999998</v>
      </c>
      <c r="V139" s="12">
        <f>IFERROR(VLOOKUP($D139,Total_DU!$B$5:$Z$174,22,0),0)</f>
        <v>11885</v>
      </c>
      <c r="W139" s="12">
        <f>IFERROR(VLOOKUP($D139,Total_DU!$B$5:$Z$174,23,0),0)</f>
        <v>12417</v>
      </c>
      <c r="X139" s="12">
        <f>IFERROR(VLOOKUP($D139,Total_DU!$B$5:$Z$174,24,0),0)</f>
        <v>12393</v>
      </c>
      <c r="Y139" s="12">
        <f>IFERROR(VLOOKUP($D139,Total_DU!$B$5:$Z$174,25,0),0)</f>
        <v>12516</v>
      </c>
      <c r="Z139" s="12">
        <f>IFERROR(VLOOKUP($D139,Population!$B$5:$Y$174,21,FALSE),0)</f>
        <v>27674.243876373777</v>
      </c>
      <c r="AA139" s="12">
        <f>IFERROR(VLOOKUP($D139,Population!$B$5:$Y$174,22,FALSE),0)</f>
        <v>28874.689419314167</v>
      </c>
      <c r="AB139" s="12">
        <f>IFERROR(VLOOKUP($D139,Population!$B$5:$Y$174,23,FALSE),0)</f>
        <v>28834.104117014009</v>
      </c>
      <c r="AC139" s="12">
        <f>IFERROR(VLOOKUP($D139,Population!$B$5:$Y$174,24,FALSE),0)</f>
        <v>28932</v>
      </c>
    </row>
    <row r="140" spans="1:29" ht="15" x14ac:dyDescent="0.25">
      <c r="A140" s="2" t="s">
        <v>21</v>
      </c>
      <c r="B140" s="2" t="s">
        <v>617</v>
      </c>
      <c r="C140" s="2" t="s">
        <v>67</v>
      </c>
      <c r="D140" s="2">
        <v>2980</v>
      </c>
      <c r="E140" s="11">
        <v>2022</v>
      </c>
      <c r="F140" s="12">
        <f>VLOOKUP($D140,'2022Data to Complete Appendix C'!$C$8:$Q$313,2,FALSE)</f>
        <v>38853</v>
      </c>
      <c r="G140" s="12">
        <f>VLOOKUP($D140,'2022Data to Complete Appendix C'!$C$8:$Q$313,3,FALSE)</f>
        <v>19230</v>
      </c>
      <c r="H140" s="12">
        <f>VLOOKUP($D140,'2022Data to Complete Appendix C'!$C$8:$Q$313,4,FALSE)</f>
        <v>406</v>
      </c>
      <c r="I140" s="12">
        <f>VLOOKUP($D140,'2022Data to Complete Appendix C'!$C$8:$Q$313,5,FALSE)</f>
        <v>22938</v>
      </c>
      <c r="J140" s="114">
        <f>VLOOKUP($D140,'2022Data to Complete Appendix C'!$C$8:$Q$313,6,FALSE)</f>
        <v>2.0204399999999998</v>
      </c>
      <c r="K140" s="114">
        <f>VLOOKUP($D140,'2022Data to Complete Appendix C'!$C$8:$Q$313,7,FALSE)</f>
        <v>1.95</v>
      </c>
      <c r="L140" s="114">
        <f>VLOOKUP($D140,'2022Data to Complete Appendix C'!$C$8:$Q$313,8,FALSE)</f>
        <v>1.11483</v>
      </c>
      <c r="M140" s="12">
        <f>VLOOKUP($D140,'2022Data to Complete Appendix C'!$C$8:$Q$313,9,FALSE)</f>
        <v>2288</v>
      </c>
      <c r="N140" s="114">
        <f>VLOOKUP($D140,'2022Data to Complete Appendix C'!$C$8:$Q$313,10,FALSE)</f>
        <v>0.10632999999999999</v>
      </c>
      <c r="O140" s="115">
        <f>VLOOKUP($D140,'2022Data to Complete Appendix C'!$C$8:$Q$313,11,FALSE)</f>
        <v>0.442</v>
      </c>
      <c r="P140" s="115">
        <f>VLOOKUP($D140,'2022Data to Complete Appendix C'!$C$8:$Q$313,12,FALSE)</f>
        <v>0.70704999999999996</v>
      </c>
      <c r="Q140" s="115">
        <f>VLOOKUP($D140,'2022Data to Complete Appendix C'!$C$8:$Q$313,13,FALSE)</f>
        <v>0.68899999999999995</v>
      </c>
      <c r="R140" s="114">
        <f>VLOOKUP($D140,'2022Data to Complete Appendix C'!$C$8:$Q$313,14,FALSE)</f>
        <v>2.7</v>
      </c>
      <c r="S140" s="115">
        <f>VLOOKUP($D140,'2022Data to Complete Appendix C'!$C$8:$Q$313,15,FALSE)</f>
        <v>-0.21279000000000001</v>
      </c>
      <c r="T140" s="12">
        <f>IFERROR(VLOOKUP($D140,'2022LodgingbyWUP'!$A$1:$D$98,4,FALSE),0)</f>
        <v>628</v>
      </c>
      <c r="U140" s="12">
        <f t="shared" si="3"/>
        <v>1168.2683999999999</v>
      </c>
      <c r="V140" s="12">
        <f>IFERROR(VLOOKUP($D140,Total_DU!$B$5:$Z$174,22,0),0)</f>
        <v>22612</v>
      </c>
      <c r="W140" s="12">
        <f>IFERROR(VLOOKUP($D140,Total_DU!$B$5:$Z$174,23,0),0)</f>
        <v>22677</v>
      </c>
      <c r="X140" s="12">
        <f>IFERROR(VLOOKUP($D140,Total_DU!$B$5:$Z$174,24,0),0)</f>
        <v>22843</v>
      </c>
      <c r="Y140" s="12">
        <f>IFERROR(VLOOKUP($D140,Total_DU!$B$5:$Z$174,25,0),0)</f>
        <v>22797</v>
      </c>
      <c r="Z140" s="12">
        <f>IFERROR(VLOOKUP($D140,Population!$B$5:$Y$174,21,FALSE),0)</f>
        <v>45394.834645176896</v>
      </c>
      <c r="AA140" s="12">
        <f>IFERROR(VLOOKUP($D140,Population!$B$5:$Y$174,22,FALSE),0)</f>
        <v>45753.856337309175</v>
      </c>
      <c r="AB140" s="12">
        <f>IFERROR(VLOOKUP($D140,Population!$B$5:$Y$174,23,FALSE),0)</f>
        <v>46161.441301793791</v>
      </c>
      <c r="AC140" s="12">
        <f>IFERROR(VLOOKUP($D140,Population!$B$5:$Y$174,24,FALSE),0)</f>
        <v>45791</v>
      </c>
    </row>
    <row r="141" spans="1:29" ht="15" x14ac:dyDescent="0.25">
      <c r="A141" s="11" t="s">
        <v>21</v>
      </c>
      <c r="B141" s="11" t="s">
        <v>618</v>
      </c>
      <c r="C141" s="11" t="s">
        <v>62</v>
      </c>
      <c r="D141" s="11">
        <v>2981</v>
      </c>
      <c r="E141" s="11">
        <v>2022</v>
      </c>
      <c r="F141" s="12">
        <f>VLOOKUP($D141,'2022Data to Complete Appendix C'!$C$8:$Q$313,2,FALSE)</f>
        <v>127693</v>
      </c>
      <c r="G141" s="12">
        <f>VLOOKUP($D141,'2022Data to Complete Appendix C'!$C$8:$Q$313,3,FALSE)</f>
        <v>59440</v>
      </c>
      <c r="H141" s="12">
        <f>VLOOKUP($D141,'2022Data to Complete Appendix C'!$C$8:$Q$313,4,FALSE)</f>
        <v>3896</v>
      </c>
      <c r="I141" s="12">
        <f>VLOOKUP($D141,'2022Data to Complete Appendix C'!$C$8:$Q$313,5,FALSE)</f>
        <v>73762</v>
      </c>
      <c r="J141" s="114">
        <f>VLOOKUP($D141,'2022Data to Complete Appendix C'!$C$8:$Q$313,6,FALSE)</f>
        <v>2.1482700000000001</v>
      </c>
      <c r="K141" s="114">
        <f>VLOOKUP($D141,'2022Data to Complete Appendix C'!$C$8:$Q$313,7,FALSE)</f>
        <v>1.95</v>
      </c>
      <c r="L141" s="114">
        <f>VLOOKUP($D141,'2022Data to Complete Appendix C'!$C$8:$Q$313,8,FALSE)</f>
        <v>1.0627200000000001</v>
      </c>
      <c r="M141" s="12">
        <f>VLOOKUP($D141,'2022Data to Complete Appendix C'!$C$8:$Q$313,9,FALSE)</f>
        <v>4107.26</v>
      </c>
      <c r="N141" s="114">
        <f>VLOOKUP($D141,'2022Data to Complete Appendix C'!$C$8:$Q$313,10,FALSE)</f>
        <v>6.4633200000000002E-2</v>
      </c>
      <c r="O141" s="115">
        <f>VLOOKUP($D141,'2022Data to Complete Appendix C'!$C$8:$Q$313,11,FALSE)</f>
        <v>0.442</v>
      </c>
      <c r="P141" s="115">
        <f>VLOOKUP($D141,'2022Data to Complete Appendix C'!$C$8:$Q$313,12,FALSE)</f>
        <v>0.70704999999999996</v>
      </c>
      <c r="Q141" s="115">
        <f>VLOOKUP($D141,'2022Data to Complete Appendix C'!$C$8:$Q$313,13,FALSE)</f>
        <v>0.68899999999999995</v>
      </c>
      <c r="R141" s="114">
        <f>VLOOKUP($D141,'2022Data to Complete Appendix C'!$C$8:$Q$313,14,FALSE)</f>
        <v>2.7</v>
      </c>
      <c r="S141" s="115">
        <f>VLOOKUP($D141,'2022Data to Complete Appendix C'!$C$8:$Q$313,15,FALSE)</f>
        <v>0.16889599999999999</v>
      </c>
      <c r="T141" s="12">
        <f>IFERROR(VLOOKUP($D141,'2022LodgingbyWUP'!$A$1:$D$98,4,FALSE),0)</f>
        <v>6758</v>
      </c>
      <c r="U141" s="12">
        <f t="shared" si="3"/>
        <v>12571.9074</v>
      </c>
      <c r="V141" s="12">
        <f>IFERROR(VLOOKUP($D141,Total_DU!$B$5:$Z$174,22,0),0)</f>
        <v>60951</v>
      </c>
      <c r="W141" s="12">
        <f>IFERROR(VLOOKUP($D141,Total_DU!$B$5:$Z$174,23,0),0)</f>
        <v>60740</v>
      </c>
      <c r="X141" s="12">
        <f>IFERROR(VLOOKUP($D141,Total_DU!$B$5:$Z$174,24,0),0)</f>
        <v>61106</v>
      </c>
      <c r="Y141" s="12">
        <f>IFERROR(VLOOKUP($D141,Total_DU!$B$5:$Z$174,25,0),0)</f>
        <v>61403</v>
      </c>
      <c r="Z141" s="12">
        <f>IFERROR(VLOOKUP($D141,Population!$B$5:$Y$174,21,FALSE),0)</f>
        <v>146669.49184813324</v>
      </c>
      <c r="AA141" s="12">
        <f>IFERROR(VLOOKUP($D141,Population!$B$5:$Y$174,22,FALSE),0)</f>
        <v>145889.40093200037</v>
      </c>
      <c r="AB141" s="12">
        <f>IFERROR(VLOOKUP($D141,Population!$B$5:$Y$174,23,FALSE),0)</f>
        <v>147007.28169820789</v>
      </c>
      <c r="AC141" s="12">
        <f>IFERROR(VLOOKUP($D141,Population!$B$5:$Y$174,24,FALSE),0)</f>
        <v>144112</v>
      </c>
    </row>
    <row r="142" spans="1:29" ht="15" x14ac:dyDescent="0.25">
      <c r="A142" s="2" t="s">
        <v>21</v>
      </c>
      <c r="B142" s="2" t="s">
        <v>619</v>
      </c>
      <c r="C142" s="2" t="s">
        <v>165</v>
      </c>
      <c r="D142" s="2">
        <v>7692</v>
      </c>
      <c r="E142" s="11">
        <v>2022</v>
      </c>
      <c r="F142" s="12">
        <f>VLOOKUP($D142,'2022Data to Complete Appendix C'!$C$8:$Q$313,2,FALSE)</f>
        <v>5958</v>
      </c>
      <c r="G142" s="12">
        <f>VLOOKUP($D142,'2022Data to Complete Appendix C'!$C$8:$Q$313,3,FALSE)</f>
        <v>2774</v>
      </c>
      <c r="H142" s="12">
        <f>VLOOKUP($D142,'2022Data to Complete Appendix C'!$C$8:$Q$313,4,FALSE)</f>
        <v>277</v>
      </c>
      <c r="I142" s="12">
        <f>VLOOKUP($D142,'2022Data to Complete Appendix C'!$C$8:$Q$313,5,FALSE)</f>
        <v>3360</v>
      </c>
      <c r="J142" s="114">
        <f>VLOOKUP($D142,'2022Data to Complete Appendix C'!$C$8:$Q$313,6,FALSE)</f>
        <v>2.1478000000000002</v>
      </c>
      <c r="K142" s="114">
        <f>VLOOKUP($D142,'2022Data to Complete Appendix C'!$C$8:$Q$313,7,FALSE)</f>
        <v>1.95</v>
      </c>
      <c r="L142" s="114">
        <f>VLOOKUP($D142,'2022Data to Complete Appendix C'!$C$8:$Q$313,8,FALSE)</f>
        <v>1.0586800000000001</v>
      </c>
      <c r="M142" s="12">
        <f>VLOOKUP($D142,'2022Data to Complete Appendix C'!$C$8:$Q$313,9,FALSE)</f>
        <v>179.29</v>
      </c>
      <c r="N142" s="114">
        <f>VLOOKUP($D142,'2022Data to Complete Appendix C'!$C$8:$Q$313,10,FALSE)</f>
        <v>6.0708600000000001E-2</v>
      </c>
      <c r="O142" s="115">
        <f>VLOOKUP($D142,'2022Data to Complete Appendix C'!$C$8:$Q$313,11,FALSE)</f>
        <v>0.442</v>
      </c>
      <c r="P142" s="115">
        <f>VLOOKUP($D142,'2022Data to Complete Appendix C'!$C$8:$Q$313,12,FALSE)</f>
        <v>0.70704999999999996</v>
      </c>
      <c r="Q142" s="115">
        <f>VLOOKUP($D142,'2022Data to Complete Appendix C'!$C$8:$Q$313,13,FALSE)</f>
        <v>0.68899999999999995</v>
      </c>
      <c r="R142" s="114">
        <f>VLOOKUP($D142,'2022Data to Complete Appendix C'!$C$8:$Q$313,14,FALSE)</f>
        <v>2.7</v>
      </c>
      <c r="S142" s="115">
        <f>VLOOKUP($D142,'2022Data to Complete Appendix C'!$C$8:$Q$313,15,FALSE)</f>
        <v>4.7701599999999997E-2</v>
      </c>
      <c r="T142" s="12">
        <f>IFERROR(VLOOKUP($D142,'2022LodgingbyWUP'!$A$1:$D$98,4,FALSE),0)</f>
        <v>35</v>
      </c>
      <c r="U142" s="12">
        <f t="shared" si="3"/>
        <v>65.110500000000002</v>
      </c>
      <c r="V142" s="12">
        <f>IFERROR(VLOOKUP($D142,Total_DU!$B$5:$Z$174,22,0),0)</f>
        <v>2563</v>
      </c>
      <c r="W142" s="12">
        <f>IFERROR(VLOOKUP($D142,Total_DU!$B$5:$Z$174,23,0),0)</f>
        <v>2693</v>
      </c>
      <c r="X142" s="12">
        <f>IFERROR(VLOOKUP($D142,Total_DU!$B$5:$Z$174,24,0),0)</f>
        <v>2693</v>
      </c>
      <c r="Y142" s="12">
        <f>IFERROR(VLOOKUP($D142,Total_DU!$B$5:$Z$174,25,0),0)</f>
        <v>2704</v>
      </c>
      <c r="Z142" s="12">
        <f>IFERROR(VLOOKUP($D142,Population!$B$5:$Y$174,21,FALSE),0)</f>
        <v>5693.2638173209707</v>
      </c>
      <c r="AA142" s="12">
        <f>IFERROR(VLOOKUP($D142,Population!$B$5:$Y$174,22,FALSE),0)</f>
        <v>5977.3426554829448</v>
      </c>
      <c r="AB142" s="12">
        <f>IFERROR(VLOOKUP($D142,Population!$B$5:$Y$174,23,FALSE),0)</f>
        <v>5978.8337806714289</v>
      </c>
      <c r="AC142" s="12">
        <f>IFERROR(VLOOKUP($D142,Population!$B$5:$Y$174,24,FALSE),0)</f>
        <v>5985</v>
      </c>
    </row>
    <row r="143" spans="1:29" ht="15" x14ac:dyDescent="0.25">
      <c r="A143" s="11" t="s">
        <v>21</v>
      </c>
      <c r="B143" s="11" t="s">
        <v>620</v>
      </c>
      <c r="C143" s="11" t="s">
        <v>482</v>
      </c>
      <c r="D143" s="11">
        <v>10350</v>
      </c>
      <c r="E143" s="11">
        <v>2022</v>
      </c>
      <c r="F143" s="12">
        <f>VLOOKUP($D143,'2022Data to Complete Appendix C'!$C$8:$Q$313,2,FALSE)</f>
        <v>733</v>
      </c>
      <c r="G143" s="12">
        <f>VLOOKUP($D143,'2022Data to Complete Appendix C'!$C$8:$Q$313,3,FALSE)</f>
        <v>440</v>
      </c>
      <c r="H143" s="12">
        <f>VLOOKUP($D143,'2022Data to Complete Appendix C'!$C$8:$Q$313,4,FALSE)</f>
        <v>0</v>
      </c>
      <c r="I143" s="12">
        <f>VLOOKUP($D143,'2022Data to Complete Appendix C'!$C$8:$Q$313,5,FALSE)</f>
        <v>583</v>
      </c>
      <c r="J143" s="114">
        <f>VLOOKUP($D143,'2022Data to Complete Appendix C'!$C$8:$Q$313,6,FALSE)</f>
        <v>1.66591</v>
      </c>
      <c r="K143" s="114">
        <f>VLOOKUP($D143,'2022Data to Complete Appendix C'!$C$8:$Q$313,7,FALSE)</f>
        <v>1.95</v>
      </c>
      <c r="L143" s="114">
        <f>VLOOKUP($D143,'2022Data to Complete Appendix C'!$C$8:$Q$313,8,FALSE)</f>
        <v>1.0896699999999999</v>
      </c>
      <c r="M143" s="12">
        <f>VLOOKUP($D143,'2022Data to Complete Appendix C'!$C$8:$Q$313,9,FALSE)</f>
        <v>33.705599999999997</v>
      </c>
      <c r="N143" s="114">
        <f>VLOOKUP($D143,'2022Data to Complete Appendix C'!$C$8:$Q$313,10,FALSE)</f>
        <v>7.1153099999999997E-2</v>
      </c>
      <c r="O143" s="115">
        <f>VLOOKUP($D143,'2022Data to Complete Appendix C'!$C$8:$Q$313,11,FALSE)</f>
        <v>0.442</v>
      </c>
      <c r="P143" s="115">
        <f>VLOOKUP($D143,'2022Data to Complete Appendix C'!$C$8:$Q$313,12,FALSE)</f>
        <v>0.70704999999999996</v>
      </c>
      <c r="Q143" s="115">
        <f>VLOOKUP($D143,'2022Data to Complete Appendix C'!$C$8:$Q$313,13,FALSE)</f>
        <v>0.68899999999999995</v>
      </c>
      <c r="R143" s="114">
        <f>VLOOKUP($D143,'2022Data to Complete Appendix C'!$C$8:$Q$313,14,FALSE)</f>
        <v>2.7</v>
      </c>
      <c r="S143" s="115">
        <f>VLOOKUP($D143,'2022Data to Complete Appendix C'!$C$8:$Q$313,15,FALSE)</f>
        <v>-0.37002800000000002</v>
      </c>
      <c r="T143" s="12">
        <f>IFERROR(VLOOKUP($D143,'2022LodgingbyWUP'!$A$1:$D$98,4,FALSE),0)</f>
        <v>0</v>
      </c>
      <c r="U143" s="12">
        <f t="shared" si="3"/>
        <v>0</v>
      </c>
      <c r="V143" s="12" t="str">
        <f>IFERROR(VLOOKUP($D143,Total_DU!$B$5:$Z$174,22,0),0)</f>
        <v>NA</v>
      </c>
      <c r="W143" s="12" t="str">
        <f>IFERROR(VLOOKUP($D143,Total_DU!$B$5:$Z$174,23,0),0)</f>
        <v>NA</v>
      </c>
      <c r="X143" s="12" t="str">
        <f>IFERROR(VLOOKUP($D143,Total_DU!$B$5:$Z$174,24,0),0)</f>
        <v>NA</v>
      </c>
      <c r="Y143" s="12" t="str">
        <f>IFERROR(VLOOKUP($D143,Total_DU!$B$5:$Z$174,25,0),0)</f>
        <v>NA</v>
      </c>
      <c r="Z143" s="12" t="str">
        <f>IFERROR(VLOOKUP($D143,Population!$B$5:$Y$174,21,FALSE),0)</f>
        <v>NA</v>
      </c>
      <c r="AA143" s="12" t="str">
        <f>IFERROR(VLOOKUP($D143,Population!$B$5:$Y$174,22,FALSE),0)</f>
        <v>NA</v>
      </c>
      <c r="AB143" s="12" t="str">
        <f>IFERROR(VLOOKUP($D143,Population!$B$5:$Y$174,23,FALSE),0)</f>
        <v>NA</v>
      </c>
      <c r="AC143" s="12" t="str">
        <f>IFERROR(VLOOKUP($D143,Population!$B$5:$Y$174,24,FALSE),0)</f>
        <v>NA</v>
      </c>
    </row>
    <row r="144" spans="1:29" ht="15" x14ac:dyDescent="0.25">
      <c r="A144" s="2" t="s">
        <v>21</v>
      </c>
      <c r="B144" s="2" t="s">
        <v>621</v>
      </c>
      <c r="C144" s="2" t="s">
        <v>30</v>
      </c>
      <c r="D144" s="2">
        <v>10795</v>
      </c>
      <c r="E144" s="11">
        <v>2022</v>
      </c>
      <c r="F144" s="12">
        <f>VLOOKUP($D144,'2022Data to Complete Appendix C'!$C$8:$Q$313,2,FALSE)</f>
        <v>14045</v>
      </c>
      <c r="G144" s="12">
        <f>VLOOKUP($D144,'2022Data to Complete Appendix C'!$C$8:$Q$313,3,FALSE)</f>
        <v>7110</v>
      </c>
      <c r="H144" s="12">
        <f>VLOOKUP($D144,'2022Data to Complete Appendix C'!$C$8:$Q$313,4,FALSE)</f>
        <v>152</v>
      </c>
      <c r="I144" s="12">
        <f>VLOOKUP($D144,'2022Data to Complete Appendix C'!$C$8:$Q$313,5,FALSE)</f>
        <v>8688</v>
      </c>
      <c r="J144" s="114">
        <f>VLOOKUP($D144,'2022Data to Complete Appendix C'!$C$8:$Q$313,6,FALSE)</f>
        <v>1.97539</v>
      </c>
      <c r="K144" s="114">
        <f>VLOOKUP($D144,'2022Data to Complete Appendix C'!$C$8:$Q$313,7,FALSE)</f>
        <v>1.95</v>
      </c>
      <c r="L144" s="114">
        <f>VLOOKUP($D144,'2022Data to Complete Appendix C'!$C$8:$Q$313,8,FALSE)</f>
        <v>1.17384</v>
      </c>
      <c r="M144" s="12">
        <f>VLOOKUP($D144,'2022Data to Complete Appendix C'!$C$8:$Q$313,9,FALSE)</f>
        <v>1252.1199999999999</v>
      </c>
      <c r="N144" s="114">
        <f>VLOOKUP($D144,'2022Data to Complete Appendix C'!$C$8:$Q$313,10,FALSE)</f>
        <v>0.14973700000000001</v>
      </c>
      <c r="O144" s="115">
        <f>VLOOKUP($D144,'2022Data to Complete Appendix C'!$C$8:$Q$313,11,FALSE)</f>
        <v>0.442</v>
      </c>
      <c r="P144" s="115">
        <f>VLOOKUP($D144,'2022Data to Complete Appendix C'!$C$8:$Q$313,12,FALSE)</f>
        <v>0.70704999999999996</v>
      </c>
      <c r="Q144" s="115">
        <f>VLOOKUP($D144,'2022Data to Complete Appendix C'!$C$8:$Q$313,13,FALSE)</f>
        <v>0.68899999999999995</v>
      </c>
      <c r="R144" s="114">
        <f>VLOOKUP($D144,'2022Data to Complete Appendix C'!$C$8:$Q$313,14,FALSE)</f>
        <v>2.7</v>
      </c>
      <c r="S144" s="115">
        <f>VLOOKUP($D144,'2022Data to Complete Appendix C'!$C$8:$Q$313,15,FALSE)</f>
        <v>-0.39489999999999997</v>
      </c>
      <c r="T144" s="12">
        <f>IFERROR(VLOOKUP($D144,'2022LodgingbyWUP'!$A$1:$D$98,4,FALSE),0)</f>
        <v>46</v>
      </c>
      <c r="U144" s="12">
        <f t="shared" si="3"/>
        <v>85.573800000000006</v>
      </c>
      <c r="V144" s="12">
        <f>IFERROR(VLOOKUP($D144,Total_DU!$B$5:$Z$174,22,0),0)</f>
        <v>7650</v>
      </c>
      <c r="W144" s="12">
        <f>IFERROR(VLOOKUP($D144,Total_DU!$B$5:$Z$174,23,0),0)</f>
        <v>7747</v>
      </c>
      <c r="X144" s="12">
        <f>IFERROR(VLOOKUP($D144,Total_DU!$B$5:$Z$174,24,0),0)</f>
        <v>7881</v>
      </c>
      <c r="Y144" s="12">
        <f>IFERROR(VLOOKUP($D144,Total_DU!$B$5:$Z$174,25,0),0)</f>
        <v>7739</v>
      </c>
      <c r="Z144" s="12">
        <f>IFERROR(VLOOKUP($D144,Population!$B$5:$Y$174,21,FALSE),0)</f>
        <v>14633.719566978774</v>
      </c>
      <c r="AA144" s="12">
        <f>IFERROR(VLOOKUP($D144,Population!$B$5:$Y$174,22,FALSE),0)</f>
        <v>14817.031703877787</v>
      </c>
      <c r="AB144" s="12">
        <f>IFERROR(VLOOKUP($D144,Population!$B$5:$Y$174,23,FALSE),0)</f>
        <v>15225.095750973367</v>
      </c>
      <c r="AC144" s="12">
        <f>IFERROR(VLOOKUP($D144,Population!$B$5:$Y$174,24,FALSE),0)</f>
        <v>14897</v>
      </c>
    </row>
    <row r="145" spans="1:29" ht="15" x14ac:dyDescent="0.25">
      <c r="A145" s="11" t="s">
        <v>21</v>
      </c>
      <c r="B145" s="11" t="s">
        <v>622</v>
      </c>
      <c r="C145" s="11" t="s">
        <v>31</v>
      </c>
      <c r="D145" s="11">
        <v>11218</v>
      </c>
      <c r="E145" s="11">
        <v>2022</v>
      </c>
      <c r="F145" s="12">
        <f>VLOOKUP($D145,'2022Data to Complete Appendix C'!$C$8:$Q$313,2,FALSE)</f>
        <v>18176</v>
      </c>
      <c r="G145" s="12">
        <f>VLOOKUP($D145,'2022Data to Complete Appendix C'!$C$8:$Q$313,3,FALSE)</f>
        <v>7288</v>
      </c>
      <c r="H145" s="12">
        <f>VLOOKUP($D145,'2022Data to Complete Appendix C'!$C$8:$Q$313,4,FALSE)</f>
        <v>115</v>
      </c>
      <c r="I145" s="12">
        <f>VLOOKUP($D145,'2022Data to Complete Appendix C'!$C$8:$Q$313,5,FALSE)</f>
        <v>8145</v>
      </c>
      <c r="J145" s="114">
        <f>VLOOKUP($D145,'2022Data to Complete Appendix C'!$C$8:$Q$313,6,FALSE)</f>
        <v>2.49396</v>
      </c>
      <c r="K145" s="114">
        <f>VLOOKUP($D145,'2022Data to Complete Appendix C'!$C$8:$Q$313,7,FALSE)</f>
        <v>1.95</v>
      </c>
      <c r="L145" s="114">
        <f>VLOOKUP($D145,'2022Data to Complete Appendix C'!$C$8:$Q$313,8,FALSE)</f>
        <v>1.0624199999999999</v>
      </c>
      <c r="M145" s="12">
        <f>VLOOKUP($D145,'2022Data to Complete Appendix C'!$C$8:$Q$313,9,FALSE)</f>
        <v>581.77200000000005</v>
      </c>
      <c r="N145" s="114">
        <f>VLOOKUP($D145,'2022Data to Complete Appendix C'!$C$8:$Q$313,10,FALSE)</f>
        <v>7.3924900000000002E-2</v>
      </c>
      <c r="O145" s="115">
        <f>VLOOKUP($D145,'2022Data to Complete Appendix C'!$C$8:$Q$313,11,FALSE)</f>
        <v>0.442</v>
      </c>
      <c r="P145" s="115">
        <f>VLOOKUP($D145,'2022Data to Complete Appendix C'!$C$8:$Q$313,12,FALSE)</f>
        <v>0.70704999999999996</v>
      </c>
      <c r="Q145" s="115">
        <f>VLOOKUP($D145,'2022Data to Complete Appendix C'!$C$8:$Q$313,13,FALSE)</f>
        <v>0.68899999999999995</v>
      </c>
      <c r="R145" s="114">
        <f>VLOOKUP($D145,'2022Data to Complete Appendix C'!$C$8:$Q$313,14,FALSE)</f>
        <v>2.7</v>
      </c>
      <c r="S145" s="115">
        <f>VLOOKUP($D145,'2022Data to Complete Appendix C'!$C$8:$Q$313,15,FALSE)</f>
        <v>0.56075900000000001</v>
      </c>
      <c r="T145" s="12">
        <f>IFERROR(VLOOKUP($D145,'2022LodgingbyWUP'!$A$1:$D$98,4,FALSE),0)</f>
        <v>476</v>
      </c>
      <c r="U145" s="12">
        <f t="shared" si="3"/>
        <v>885.50280000000009</v>
      </c>
      <c r="V145" s="12">
        <f>IFERROR(VLOOKUP($D145,Total_DU!$B$5:$Z$174,22,0),0)</f>
        <v>6429</v>
      </c>
      <c r="W145" s="12">
        <f>IFERROR(VLOOKUP($D145,Total_DU!$B$5:$Z$174,23,0),0)</f>
        <v>6445</v>
      </c>
      <c r="X145" s="12">
        <f>IFERROR(VLOOKUP($D145,Total_DU!$B$5:$Z$174,24,0),0)</f>
        <v>6452</v>
      </c>
      <c r="Y145" s="12">
        <f>IFERROR(VLOOKUP($D145,Total_DU!$B$5:$Z$174,25,0),0)</f>
        <v>6586</v>
      </c>
      <c r="Z145" s="12">
        <f>IFERROR(VLOOKUP($D145,Population!$B$5:$Y$174,21,FALSE),0)</f>
        <v>17373.606221441591</v>
      </c>
      <c r="AA145" s="12">
        <f>IFERROR(VLOOKUP($D145,Population!$B$5:$Y$174,22,FALSE),0)</f>
        <v>17397.413889867541</v>
      </c>
      <c r="AB145" s="12">
        <f>IFERROR(VLOOKUP($D145,Population!$B$5:$Y$174,23,FALSE),0)</f>
        <v>17437.549373272745</v>
      </c>
      <c r="AC145" s="12">
        <f>IFERROR(VLOOKUP($D145,Population!$B$5:$Y$174,24,FALSE),0)</f>
        <v>17529</v>
      </c>
    </row>
    <row r="146" spans="1:29" ht="15" x14ac:dyDescent="0.25">
      <c r="A146" s="2" t="s">
        <v>21</v>
      </c>
      <c r="B146" s="2" t="s">
        <v>623</v>
      </c>
      <c r="C146" s="2" t="s">
        <v>82</v>
      </c>
      <c r="D146" s="2">
        <v>11245</v>
      </c>
      <c r="E146" s="11">
        <v>2022</v>
      </c>
      <c r="F146" s="12">
        <f>VLOOKUP($D146,'2022Data to Complete Appendix C'!$C$8:$Q$313,2,FALSE)</f>
        <v>15474</v>
      </c>
      <c r="G146" s="12">
        <f>VLOOKUP($D146,'2022Data to Complete Appendix C'!$C$8:$Q$313,3,FALSE)</f>
        <v>6630</v>
      </c>
      <c r="H146" s="12">
        <f>VLOOKUP($D146,'2022Data to Complete Appendix C'!$C$8:$Q$313,4,FALSE)</f>
        <v>52</v>
      </c>
      <c r="I146" s="12">
        <f>VLOOKUP($D146,'2022Data to Complete Appendix C'!$C$8:$Q$313,5,FALSE)</f>
        <v>7227</v>
      </c>
      <c r="J146" s="114">
        <f>VLOOKUP($D146,'2022Data to Complete Appendix C'!$C$8:$Q$313,6,FALSE)</f>
        <v>2.3339400000000001</v>
      </c>
      <c r="K146" s="114">
        <f>VLOOKUP($D146,'2022Data to Complete Appendix C'!$C$8:$Q$313,7,FALSE)</f>
        <v>1.95</v>
      </c>
      <c r="L146" s="114">
        <f>VLOOKUP($D146,'2022Data to Complete Appendix C'!$C$8:$Q$313,8,FALSE)</f>
        <v>1.07606</v>
      </c>
      <c r="M146" s="12">
        <f>VLOOKUP($D146,'2022Data to Complete Appendix C'!$C$8:$Q$313,9,FALSE)</f>
        <v>603.57299999999998</v>
      </c>
      <c r="N146" s="114">
        <f>VLOOKUP($D146,'2022Data to Complete Appendix C'!$C$8:$Q$313,10,FALSE)</f>
        <v>8.3440500000000001E-2</v>
      </c>
      <c r="O146" s="115">
        <f>VLOOKUP($D146,'2022Data to Complete Appendix C'!$C$8:$Q$313,11,FALSE)</f>
        <v>0.442</v>
      </c>
      <c r="P146" s="115">
        <f>VLOOKUP($D146,'2022Data to Complete Appendix C'!$C$8:$Q$313,12,FALSE)</f>
        <v>0.70704999999999996</v>
      </c>
      <c r="Q146" s="115">
        <f>VLOOKUP($D146,'2022Data to Complete Appendix C'!$C$8:$Q$313,13,FALSE)</f>
        <v>0.68899999999999995</v>
      </c>
      <c r="R146" s="114">
        <f>VLOOKUP($D146,'2022Data to Complete Appendix C'!$C$8:$Q$313,14,FALSE)</f>
        <v>2.7</v>
      </c>
      <c r="S146" s="115">
        <f>VLOOKUP($D146,'2022Data to Complete Appendix C'!$C$8:$Q$313,15,FALSE)</f>
        <v>-0.41530800000000001</v>
      </c>
      <c r="T146" s="12">
        <f>IFERROR(VLOOKUP($D146,'2022LodgingbyWUP'!$A$1:$D$98,4,FALSE),0)</f>
        <v>227</v>
      </c>
      <c r="U146" s="12">
        <f t="shared" si="3"/>
        <v>422.28809999999999</v>
      </c>
      <c r="V146" s="12">
        <f>IFERROR(VLOOKUP($D146,Total_DU!$B$5:$Z$174,22,0),0)</f>
        <v>6535</v>
      </c>
      <c r="W146" s="12">
        <f>IFERROR(VLOOKUP($D146,Total_DU!$B$5:$Z$174,23,0),0)</f>
        <v>6535</v>
      </c>
      <c r="X146" s="12">
        <f>IFERROR(VLOOKUP($D146,Total_DU!$B$5:$Z$174,24,0),0)</f>
        <v>6504</v>
      </c>
      <c r="Y146" s="12">
        <f>IFERROR(VLOOKUP($D146,Total_DU!$B$5:$Z$174,25,0),0)</f>
        <v>6835</v>
      </c>
      <c r="Z146" s="12">
        <f>IFERROR(VLOOKUP($D146,Population!$B$5:$Y$174,21,FALSE),0)</f>
        <v>15182.79820269321</v>
      </c>
      <c r="AA146" s="12">
        <f>IFERROR(VLOOKUP($D146,Population!$B$5:$Y$174,22,FALSE),0)</f>
        <v>15183</v>
      </c>
      <c r="AB146" s="12">
        <f>IFERROR(VLOOKUP($D146,Population!$B$5:$Y$174,23,FALSE),0)</f>
        <v>15125.72413328784</v>
      </c>
      <c r="AC146" s="12">
        <f>IFERROR(VLOOKUP($D146,Population!$B$5:$Y$174,24,FALSE),0)</f>
        <v>15778</v>
      </c>
    </row>
    <row r="147" spans="1:29" ht="15" x14ac:dyDescent="0.25">
      <c r="A147" s="11" t="s">
        <v>21</v>
      </c>
      <c r="B147" s="11" t="s">
        <v>624</v>
      </c>
      <c r="C147" s="11" t="s">
        <v>32</v>
      </c>
      <c r="D147" s="11">
        <v>12351</v>
      </c>
      <c r="E147" s="11">
        <v>2022</v>
      </c>
      <c r="F147" s="12">
        <f>VLOOKUP($D147,'2022Data to Complete Appendix C'!$C$8:$Q$313,2,FALSE)</f>
        <v>54476</v>
      </c>
      <c r="G147" s="12">
        <f>VLOOKUP($D147,'2022Data to Complete Appendix C'!$C$8:$Q$313,3,FALSE)</f>
        <v>23754</v>
      </c>
      <c r="H147" s="12">
        <f>VLOOKUP($D147,'2022Data to Complete Appendix C'!$C$8:$Q$313,4,FALSE)</f>
        <v>1282</v>
      </c>
      <c r="I147" s="12">
        <f>VLOOKUP($D147,'2022Data to Complete Appendix C'!$C$8:$Q$313,5,FALSE)</f>
        <v>26961</v>
      </c>
      <c r="J147" s="114">
        <f>VLOOKUP($D147,'2022Data to Complete Appendix C'!$C$8:$Q$313,6,FALSE)</f>
        <v>2.2933400000000002</v>
      </c>
      <c r="K147" s="114">
        <f>VLOOKUP($D147,'2022Data to Complete Appendix C'!$C$8:$Q$313,7,FALSE)</f>
        <v>1.95</v>
      </c>
      <c r="L147" s="114">
        <f>VLOOKUP($D147,'2022Data to Complete Appendix C'!$C$8:$Q$313,8,FALSE)</f>
        <v>1.0505100000000001</v>
      </c>
      <c r="M147" s="12">
        <f>VLOOKUP($D147,'2022Data to Complete Appendix C'!$C$8:$Q$313,9,FALSE)</f>
        <v>1411.1</v>
      </c>
      <c r="N147" s="114">
        <f>VLOOKUP($D147,'2022Data to Complete Appendix C'!$C$8:$Q$313,10,FALSE)</f>
        <v>5.6073499999999998E-2</v>
      </c>
      <c r="O147" s="115">
        <f>VLOOKUP($D147,'2022Data to Complete Appendix C'!$C$8:$Q$313,11,FALSE)</f>
        <v>0.442</v>
      </c>
      <c r="P147" s="115">
        <f>VLOOKUP($D147,'2022Data to Complete Appendix C'!$C$8:$Q$313,12,FALSE)</f>
        <v>0.70704999999999996</v>
      </c>
      <c r="Q147" s="115">
        <f>VLOOKUP($D147,'2022Data to Complete Appendix C'!$C$8:$Q$313,13,FALSE)</f>
        <v>0.68899999999999995</v>
      </c>
      <c r="R147" s="114">
        <f>VLOOKUP($D147,'2022Data to Complete Appendix C'!$C$8:$Q$313,14,FALSE)</f>
        <v>2.7</v>
      </c>
      <c r="S147" s="115">
        <f>VLOOKUP($D147,'2022Data to Complete Appendix C'!$C$8:$Q$313,15,FALSE)</f>
        <v>0.61807800000000002</v>
      </c>
      <c r="T147" s="12">
        <f>IFERROR(VLOOKUP($D147,'2022LodgingbyWUP'!$A$1:$D$98,4,FALSE),0)</f>
        <v>551</v>
      </c>
      <c r="U147" s="12">
        <f t="shared" si="3"/>
        <v>1025.0253</v>
      </c>
      <c r="V147" s="12">
        <f>IFERROR(VLOOKUP($D147,Total_DU!$B$5:$Z$174,22,0),0)</f>
        <v>37200</v>
      </c>
      <c r="W147" s="12">
        <f>IFERROR(VLOOKUP($D147,Total_DU!$B$5:$Z$174,23,0),0)</f>
        <v>28227</v>
      </c>
      <c r="X147" s="12">
        <f>IFERROR(VLOOKUP($D147,Total_DU!$B$5:$Z$174,24,0),0)</f>
        <v>26208</v>
      </c>
      <c r="Y147" s="12">
        <f>IFERROR(VLOOKUP($D147,Total_DU!$B$5:$Z$174,25,0),0)</f>
        <v>26870</v>
      </c>
      <c r="Z147" s="12">
        <f>IFERROR(VLOOKUP($D147,Population!$B$5:$Y$174,21,FALSE),0)</f>
        <v>91547.336079944114</v>
      </c>
      <c r="AA147" s="12">
        <f>IFERROR(VLOOKUP($D147,Population!$B$5:$Y$174,22,FALSE),0)</f>
        <v>69665.490389290208</v>
      </c>
      <c r="AB147" s="12">
        <f>IFERROR(VLOOKUP($D147,Population!$B$5:$Y$174,23,FALSE),0)</f>
        <v>64740.231190650593</v>
      </c>
      <c r="AC147" s="12">
        <f>IFERROR(VLOOKUP($D147,Population!$B$5:$Y$174,24,FALSE),0)</f>
        <v>66254</v>
      </c>
    </row>
    <row r="148" spans="1:29" ht="15" x14ac:dyDescent="0.25">
      <c r="A148" s="2" t="s">
        <v>21</v>
      </c>
      <c r="B148" s="2" t="s">
        <v>625</v>
      </c>
      <c r="C148" s="2" t="s">
        <v>138</v>
      </c>
      <c r="D148" s="2">
        <v>20142</v>
      </c>
      <c r="E148" s="11">
        <v>2022</v>
      </c>
      <c r="F148" s="12">
        <f>VLOOKUP($D148,'2022Data to Complete Appendix C'!$C$8:$Q$313,2,FALSE)</f>
        <v>363596</v>
      </c>
      <c r="G148" s="12">
        <f>VLOOKUP($D148,'2022Data to Complete Appendix C'!$C$8:$Q$313,3,FALSE)</f>
        <v>170463</v>
      </c>
      <c r="H148" s="12">
        <f>VLOOKUP($D148,'2022Data to Complete Appendix C'!$C$8:$Q$313,4,FALSE)</f>
        <v>6505</v>
      </c>
      <c r="I148" s="12">
        <f>VLOOKUP($D148,'2022Data to Complete Appendix C'!$C$8:$Q$313,5,FALSE)</f>
        <v>209148</v>
      </c>
      <c r="J148" s="114">
        <f>VLOOKUP($D148,'2022Data to Complete Appendix C'!$C$8:$Q$313,6,FALSE)</f>
        <v>2.1329899999999999</v>
      </c>
      <c r="K148" s="114">
        <f>VLOOKUP($D148,'2022Data to Complete Appendix C'!$C$8:$Q$313,7,FALSE)</f>
        <v>1.95</v>
      </c>
      <c r="L148" s="114">
        <f>VLOOKUP($D148,'2022Data to Complete Appendix C'!$C$8:$Q$313,8,FALSE)</f>
        <v>1.07365</v>
      </c>
      <c r="M148" s="12">
        <f>VLOOKUP($D148,'2022Data to Complete Appendix C'!$C$8:$Q$313,9,FALSE)</f>
        <v>13732.6</v>
      </c>
      <c r="N148" s="114">
        <f>VLOOKUP($D148,'2022Data to Complete Appendix C'!$C$8:$Q$313,10,FALSE)</f>
        <v>7.4554200000000001E-2</v>
      </c>
      <c r="O148" s="115">
        <f>VLOOKUP($D148,'2022Data to Complete Appendix C'!$C$8:$Q$313,11,FALSE)</f>
        <v>0.442</v>
      </c>
      <c r="P148" s="115">
        <f>VLOOKUP($D148,'2022Data to Complete Appendix C'!$C$8:$Q$313,12,FALSE)</f>
        <v>0.70704999999999996</v>
      </c>
      <c r="Q148" s="115">
        <f>VLOOKUP($D148,'2022Data to Complete Appendix C'!$C$8:$Q$313,13,FALSE)</f>
        <v>0.68899999999999995</v>
      </c>
      <c r="R148" s="114">
        <f>VLOOKUP($D148,'2022Data to Complete Appendix C'!$C$8:$Q$313,14,FALSE)</f>
        <v>2.7</v>
      </c>
      <c r="S148" s="115">
        <f>VLOOKUP($D148,'2022Data to Complete Appendix C'!$C$8:$Q$313,15,FALSE)</f>
        <v>-8.7380899999999997E-2</v>
      </c>
      <c r="T148" s="12">
        <f>IFERROR(VLOOKUP($D148,'2022LodgingbyWUP'!$A$1:$D$98,4,FALSE),0)</f>
        <v>13455</v>
      </c>
      <c r="U148" s="12">
        <f t="shared" si="3"/>
        <v>25030.336499999998</v>
      </c>
      <c r="V148" s="12">
        <f>IFERROR(VLOOKUP($D148,Total_DU!$B$5:$Z$174,22,0),0)</f>
        <v>229084</v>
      </c>
      <c r="W148" s="12">
        <f>IFERROR(VLOOKUP($D148,Total_DU!$B$5:$Z$174,23,0),0)</f>
        <v>228540</v>
      </c>
      <c r="X148" s="12">
        <f>IFERROR(VLOOKUP($D148,Total_DU!$B$5:$Z$174,24,0),0)</f>
        <v>228919</v>
      </c>
      <c r="Y148" s="12">
        <f>IFERROR(VLOOKUP($D148,Total_DU!$B$5:$Z$174,25,0),0)</f>
        <v>235642</v>
      </c>
      <c r="Z148" s="12">
        <f>IFERROR(VLOOKUP($D148,Population!$B$5:$Y$174,21,FALSE),0)</f>
        <v>506353.08542293124</v>
      </c>
      <c r="AA148" s="12">
        <f>IFERROR(VLOOKUP($D148,Population!$B$5:$Y$174,22,FALSE),0)</f>
        <v>506299.80355446611</v>
      </c>
      <c r="AB148" s="12">
        <f>IFERROR(VLOOKUP($D148,Population!$B$5:$Y$174,23,FALSE),0)</f>
        <v>509136.986381786</v>
      </c>
      <c r="AC148" s="12">
        <f>IFERROR(VLOOKUP($D148,Population!$B$5:$Y$174,24,FALSE),0)</f>
        <v>516659</v>
      </c>
    </row>
    <row r="149" spans="1:29" ht="15" x14ac:dyDescent="0.25">
      <c r="A149" s="11" t="s">
        <v>21</v>
      </c>
      <c r="B149" s="11" t="s">
        <v>626</v>
      </c>
      <c r="C149" s="11" t="s">
        <v>9</v>
      </c>
      <c r="D149" s="11">
        <v>20143</v>
      </c>
      <c r="E149" s="11">
        <v>2022</v>
      </c>
      <c r="F149" s="12">
        <f>VLOOKUP($D149,'2022Data to Complete Appendix C'!$C$8:$Q$313,2,FALSE)</f>
        <v>277696</v>
      </c>
      <c r="G149" s="12">
        <f>VLOOKUP($D149,'2022Data to Complete Appendix C'!$C$8:$Q$313,3,FALSE)</f>
        <v>128449</v>
      </c>
      <c r="H149" s="12">
        <f>VLOOKUP($D149,'2022Data to Complete Appendix C'!$C$8:$Q$313,4,FALSE)</f>
        <v>7823</v>
      </c>
      <c r="I149" s="12">
        <f>VLOOKUP($D149,'2022Data to Complete Appendix C'!$C$8:$Q$313,5,FALSE)</f>
        <v>154039</v>
      </c>
      <c r="J149" s="114">
        <f>VLOOKUP($D149,'2022Data to Complete Appendix C'!$C$8:$Q$313,6,FALSE)</f>
        <v>2.1619199999999998</v>
      </c>
      <c r="K149" s="114">
        <f>VLOOKUP($D149,'2022Data to Complete Appendix C'!$C$8:$Q$313,7,FALSE)</f>
        <v>1.95</v>
      </c>
      <c r="L149" s="114">
        <f>VLOOKUP($D149,'2022Data to Complete Appendix C'!$C$8:$Q$313,8,FALSE)</f>
        <v>1.06664</v>
      </c>
      <c r="M149" s="12">
        <f>VLOOKUP($D149,'2022Data to Complete Appendix C'!$C$8:$Q$313,9,FALSE)</f>
        <v>9490.65</v>
      </c>
      <c r="N149" s="114">
        <f>VLOOKUP($D149,'2022Data to Complete Appendix C'!$C$8:$Q$313,10,FALSE)</f>
        <v>6.88029E-2</v>
      </c>
      <c r="O149" s="115">
        <f>VLOOKUP($D149,'2022Data to Complete Appendix C'!$C$8:$Q$313,11,FALSE)</f>
        <v>0.442</v>
      </c>
      <c r="P149" s="115">
        <f>VLOOKUP($D149,'2022Data to Complete Appendix C'!$C$8:$Q$313,12,FALSE)</f>
        <v>0.70704999999999996</v>
      </c>
      <c r="Q149" s="115">
        <f>VLOOKUP($D149,'2022Data to Complete Appendix C'!$C$8:$Q$313,13,FALSE)</f>
        <v>0.68899999999999995</v>
      </c>
      <c r="R149" s="114">
        <f>VLOOKUP($D149,'2022Data to Complete Appendix C'!$C$8:$Q$313,14,FALSE)</f>
        <v>2.7</v>
      </c>
      <c r="S149" s="115">
        <f>VLOOKUP($D149,'2022Data to Complete Appendix C'!$C$8:$Q$313,15,FALSE)</f>
        <v>5.3931800000000002E-2</v>
      </c>
      <c r="T149" s="12">
        <f>IFERROR(VLOOKUP($D149,'2022LodgingbyWUP'!$A$1:$D$98,4,FALSE),0)</f>
        <v>4859</v>
      </c>
      <c r="U149" s="12">
        <f t="shared" si="3"/>
        <v>9039.1976999999988</v>
      </c>
      <c r="V149" s="12">
        <f>IFERROR(VLOOKUP($D149,Total_DU!$B$5:$Z$174,22,0),0)</f>
        <v>155268</v>
      </c>
      <c r="W149" s="12">
        <f>IFERROR(VLOOKUP($D149,Total_DU!$B$5:$Z$174,23,0),0)</f>
        <v>157637</v>
      </c>
      <c r="X149" s="12">
        <f>IFERROR(VLOOKUP($D149,Total_DU!$B$5:$Z$174,24,0),0)</f>
        <v>158243</v>
      </c>
      <c r="Y149" s="12">
        <f>IFERROR(VLOOKUP($D149,Total_DU!$B$5:$Z$174,25,0),0)</f>
        <v>158276</v>
      </c>
      <c r="Z149" s="12">
        <f>IFERROR(VLOOKUP($D149,Population!$B$5:$Y$174,21,FALSE),0)</f>
        <v>347049.68169628747</v>
      </c>
      <c r="AA149" s="12">
        <f>IFERROR(VLOOKUP($D149,Population!$B$5:$Y$174,22,FALSE),0)</f>
        <v>351801.11827336467</v>
      </c>
      <c r="AB149" s="12">
        <f>IFERROR(VLOOKUP($D149,Population!$B$5:$Y$174,23,FALSE),0)</f>
        <v>353552.81116674421</v>
      </c>
      <c r="AC149" s="12">
        <f>IFERROR(VLOOKUP($D149,Population!$B$5:$Y$174,24,FALSE),0)</f>
        <v>350725</v>
      </c>
    </row>
    <row r="150" spans="1:29" ht="15" x14ac:dyDescent="0.25">
      <c r="A150" s="2" t="s">
        <v>22</v>
      </c>
      <c r="B150" s="2" t="s">
        <v>627</v>
      </c>
      <c r="C150" s="2" t="s">
        <v>34</v>
      </c>
      <c r="D150" s="2">
        <v>143</v>
      </c>
      <c r="E150" s="11">
        <v>2022</v>
      </c>
      <c r="F150" s="12">
        <f>VLOOKUP($D150,'2022Data to Complete Appendix C'!$C$8:$Q$313,2,FALSE)</f>
        <v>321</v>
      </c>
      <c r="G150" s="12">
        <f>VLOOKUP($D150,'2022Data to Complete Appendix C'!$C$8:$Q$313,3,FALSE)</f>
        <v>167</v>
      </c>
      <c r="H150" s="12">
        <f>VLOOKUP($D150,'2022Data to Complete Appendix C'!$C$8:$Q$313,4,FALSE)</f>
        <v>0</v>
      </c>
      <c r="I150" s="12">
        <f>VLOOKUP($D150,'2022Data to Complete Appendix C'!$C$8:$Q$313,5,FALSE)</f>
        <v>205</v>
      </c>
      <c r="J150" s="114">
        <f>VLOOKUP($D150,'2022Data to Complete Appendix C'!$C$8:$Q$313,6,FALSE)</f>
        <v>1.9221600000000001</v>
      </c>
      <c r="K150" s="114">
        <f>VLOOKUP($D150,'2022Data to Complete Appendix C'!$C$8:$Q$313,7,FALSE)</f>
        <v>1.95</v>
      </c>
      <c r="L150" s="114">
        <f>VLOOKUP($D150,'2022Data to Complete Appendix C'!$C$8:$Q$313,8,FALSE)</f>
        <v>1.2273099999999999</v>
      </c>
      <c r="M150" s="12">
        <f>VLOOKUP($D150,'2022Data to Complete Appendix C'!$C$8:$Q$313,9,FALSE)</f>
        <v>37.418599999999998</v>
      </c>
      <c r="N150" s="114">
        <f>VLOOKUP($D150,'2022Data to Complete Appendix C'!$C$8:$Q$313,10,FALSE)</f>
        <v>0.18304899999999999</v>
      </c>
      <c r="O150" s="115">
        <f>VLOOKUP($D150,'2022Data to Complete Appendix C'!$C$8:$Q$313,11,FALSE)</f>
        <v>0.56699999999999995</v>
      </c>
      <c r="P150" s="115">
        <f>VLOOKUP($D150,'2022Data to Complete Appendix C'!$C$8:$Q$313,12,FALSE)</f>
        <v>0.772675</v>
      </c>
      <c r="Q150" s="115">
        <f>VLOOKUP($D150,'2022Data to Complete Appendix C'!$C$8:$Q$313,13,FALSE)</f>
        <v>0.65200000000000002</v>
      </c>
      <c r="R150" s="114">
        <f>VLOOKUP($D150,'2022Data to Complete Appendix C'!$C$8:$Q$313,14,FALSE)</f>
        <v>2.2999999999999998</v>
      </c>
      <c r="S150" s="115">
        <f>VLOOKUP($D150,'2022Data to Complete Appendix C'!$C$8:$Q$313,15,FALSE)</f>
        <v>-0.16576099999999999</v>
      </c>
      <c r="T150" s="12">
        <f>IFERROR(VLOOKUP($D150,'2022LodgingbyWUP'!$A$1:$D$98,4,FALSE),0)</f>
        <v>0</v>
      </c>
      <c r="U150" s="12">
        <f t="shared" si="3"/>
        <v>0</v>
      </c>
      <c r="V150" s="12">
        <f>IFERROR(VLOOKUP($D150,Total_DU!$B$5:$Z$174,22,0),0)</f>
        <v>0</v>
      </c>
      <c r="W150" s="12">
        <f>IFERROR(VLOOKUP($D150,Total_DU!$B$5:$Z$174,23,0),0)</f>
        <v>0</v>
      </c>
      <c r="X150" s="12">
        <f>IFERROR(VLOOKUP($D150,Total_DU!$B$5:$Z$174,24,0),0)</f>
        <v>0</v>
      </c>
      <c r="Y150" s="12">
        <f>IFERROR(VLOOKUP($D150,Total_DU!$B$5:$Z$174,25,0),0)</f>
        <v>0</v>
      </c>
      <c r="Z150" s="12">
        <f>IFERROR(VLOOKUP($D150,Population!$B$5:$Y$174,21,FALSE),0)</f>
        <v>0</v>
      </c>
      <c r="AA150" s="12">
        <f>IFERROR(VLOOKUP($D150,Population!$B$5:$Y$174,22,FALSE),0)</f>
        <v>0</v>
      </c>
      <c r="AB150" s="12">
        <f>IFERROR(VLOOKUP($D150,Population!$B$5:$Y$174,23,FALSE),0)</f>
        <v>0</v>
      </c>
      <c r="AC150" s="12">
        <f>IFERROR(VLOOKUP($D150,Population!$B$5:$Y$174,24,FALSE),0)</f>
        <v>0</v>
      </c>
    </row>
    <row r="151" spans="1:29" ht="15" x14ac:dyDescent="0.25">
      <c r="A151" s="11" t="s">
        <v>22</v>
      </c>
      <c r="B151" s="11" t="s">
        <v>628</v>
      </c>
      <c r="C151" s="11" t="s">
        <v>55</v>
      </c>
      <c r="D151" s="11">
        <v>341</v>
      </c>
      <c r="E151" s="11">
        <v>2022</v>
      </c>
      <c r="F151" s="12">
        <f>VLOOKUP($D151,'2022Data to Complete Appendix C'!$C$8:$Q$313,2,FALSE)</f>
        <v>25093</v>
      </c>
      <c r="G151" s="12">
        <f>VLOOKUP($D151,'2022Data to Complete Appendix C'!$C$8:$Q$313,3,FALSE)</f>
        <v>9214</v>
      </c>
      <c r="H151" s="12">
        <f>VLOOKUP($D151,'2022Data to Complete Appendix C'!$C$8:$Q$313,4,FALSE)</f>
        <v>1249</v>
      </c>
      <c r="I151" s="12">
        <f>VLOOKUP($D151,'2022Data to Complete Appendix C'!$C$8:$Q$313,5,FALSE)</f>
        <v>10391</v>
      </c>
      <c r="J151" s="114">
        <f>VLOOKUP($D151,'2022Data to Complete Appendix C'!$C$8:$Q$313,6,FALSE)</f>
        <v>2.72336</v>
      </c>
      <c r="K151" s="114">
        <f>VLOOKUP($D151,'2022Data to Complete Appendix C'!$C$8:$Q$313,7,FALSE)</f>
        <v>1.95</v>
      </c>
      <c r="L151" s="114">
        <f>VLOOKUP($D151,'2022Data to Complete Appendix C'!$C$8:$Q$313,8,FALSE)</f>
        <v>1.0542899999999999</v>
      </c>
      <c r="M151" s="12">
        <f>VLOOKUP($D151,'2022Data to Complete Appendix C'!$C$8:$Q$313,9,FALSE)</f>
        <v>698.60199999999998</v>
      </c>
      <c r="N151" s="114">
        <f>VLOOKUP($D151,'2022Data to Complete Appendix C'!$C$8:$Q$313,10,FALSE)</f>
        <v>7.04761E-2</v>
      </c>
      <c r="O151" s="115">
        <f>VLOOKUP($D151,'2022Data to Complete Appendix C'!$C$8:$Q$313,11,FALSE)</f>
        <v>0.56699999999999995</v>
      </c>
      <c r="P151" s="115">
        <f>VLOOKUP($D151,'2022Data to Complete Appendix C'!$C$8:$Q$313,12,FALSE)</f>
        <v>0.772675</v>
      </c>
      <c r="Q151" s="115">
        <f>VLOOKUP($D151,'2022Data to Complete Appendix C'!$C$8:$Q$313,13,FALSE)</f>
        <v>0.65200000000000002</v>
      </c>
      <c r="R151" s="114">
        <f>VLOOKUP($D151,'2022Data to Complete Appendix C'!$C$8:$Q$313,14,FALSE)</f>
        <v>2.2999999999999998</v>
      </c>
      <c r="S151" s="115">
        <f>VLOOKUP($D151,'2022Data to Complete Appendix C'!$C$8:$Q$313,15,FALSE)</f>
        <v>0.313726</v>
      </c>
      <c r="T151" s="12">
        <f>IFERROR(VLOOKUP($D151,'2022LodgingbyWUP'!$A$1:$D$98,4,FALSE),0)</f>
        <v>323</v>
      </c>
      <c r="U151" s="12">
        <f t="shared" si="3"/>
        <v>484.37079999999997</v>
      </c>
      <c r="V151" s="12">
        <f>IFERROR(VLOOKUP($D151,Total_DU!$B$5:$Z$174,22,0),0)</f>
        <v>8921</v>
      </c>
      <c r="W151" s="12">
        <f>IFERROR(VLOOKUP($D151,Total_DU!$B$5:$Z$174,23,0),0)</f>
        <v>8926</v>
      </c>
      <c r="X151" s="12">
        <f>IFERROR(VLOOKUP($D151,Total_DU!$B$5:$Z$174,24,0),0)</f>
        <v>9118</v>
      </c>
      <c r="Y151" s="12">
        <f>IFERROR(VLOOKUP($D151,Total_DU!$B$5:$Z$174,25,0),0)</f>
        <v>9385</v>
      </c>
      <c r="Z151" s="12">
        <f>IFERROR(VLOOKUP($D151,Population!$B$5:$Y$174,21,FALSE),0)</f>
        <v>25741.543053295078</v>
      </c>
      <c r="AA151" s="12">
        <f>IFERROR(VLOOKUP($D151,Population!$B$5:$Y$174,22,FALSE),0)</f>
        <v>25751.341582540717</v>
      </c>
      <c r="AB151" s="12">
        <f>IFERROR(VLOOKUP($D151,Population!$B$5:$Y$174,23,FALSE),0)</f>
        <v>26298.377818174009</v>
      </c>
      <c r="AC151" s="12">
        <f>IFERROR(VLOOKUP($D151,Population!$B$5:$Y$174,24,FALSE),0)</f>
        <v>26951</v>
      </c>
    </row>
    <row r="152" spans="1:29" ht="15" x14ac:dyDescent="0.25">
      <c r="A152" s="2" t="s">
        <v>22</v>
      </c>
      <c r="B152" s="2" t="s">
        <v>629</v>
      </c>
      <c r="C152" s="2" t="s">
        <v>203</v>
      </c>
      <c r="D152" s="2">
        <v>587</v>
      </c>
      <c r="E152" s="11">
        <v>2022</v>
      </c>
      <c r="F152" s="12">
        <f>VLOOKUP($D152,'2022Data to Complete Appendix C'!$C$8:$Q$313,2,FALSE)</f>
        <v>193</v>
      </c>
      <c r="G152" s="12">
        <f>VLOOKUP($D152,'2022Data to Complete Appendix C'!$C$8:$Q$313,3,FALSE)</f>
        <v>107</v>
      </c>
      <c r="H152" s="12">
        <f>VLOOKUP($D152,'2022Data to Complete Appendix C'!$C$8:$Q$313,4,FALSE)</f>
        <v>0</v>
      </c>
      <c r="I152" s="12">
        <f>VLOOKUP($D152,'2022Data to Complete Appendix C'!$C$8:$Q$313,5,FALSE)</f>
        <v>212</v>
      </c>
      <c r="J152" s="114">
        <f>VLOOKUP($D152,'2022Data to Complete Appendix C'!$C$8:$Q$313,6,FALSE)</f>
        <v>1.8037399999999999</v>
      </c>
      <c r="K152" s="114">
        <f>VLOOKUP($D152,'2022Data to Complete Appendix C'!$C$8:$Q$313,7,FALSE)</f>
        <v>1.95</v>
      </c>
      <c r="L152" s="114">
        <f>VLOOKUP($D152,'2022Data to Complete Appendix C'!$C$8:$Q$313,8,FALSE)</f>
        <v>1.12503</v>
      </c>
      <c r="M152" s="12">
        <f>VLOOKUP($D152,'2022Data to Complete Appendix C'!$C$8:$Q$313,9,FALSE)</f>
        <v>12.374599999999999</v>
      </c>
      <c r="N152" s="114">
        <f>VLOOKUP($D152,'2022Data to Complete Appendix C'!$C$8:$Q$313,10,FALSE)</f>
        <v>0.103662</v>
      </c>
      <c r="O152" s="115">
        <f>VLOOKUP($D152,'2022Data to Complete Appendix C'!$C$8:$Q$313,11,FALSE)</f>
        <v>0.56699999999999995</v>
      </c>
      <c r="P152" s="115">
        <f>VLOOKUP($D152,'2022Data to Complete Appendix C'!$C$8:$Q$313,12,FALSE)</f>
        <v>0.772675</v>
      </c>
      <c r="Q152" s="115">
        <f>VLOOKUP($D152,'2022Data to Complete Appendix C'!$C$8:$Q$313,13,FALSE)</f>
        <v>0.65200000000000002</v>
      </c>
      <c r="R152" s="114">
        <f>VLOOKUP($D152,'2022Data to Complete Appendix C'!$C$8:$Q$313,14,FALSE)</f>
        <v>2.2999999999999998</v>
      </c>
      <c r="S152" s="115">
        <f>VLOOKUP($D152,'2022Data to Complete Appendix C'!$C$8:$Q$313,15,FALSE)</f>
        <v>0.53072600000000003</v>
      </c>
      <c r="T152" s="12">
        <f>IFERROR(VLOOKUP($D152,'2022LodgingbyWUP'!$A$1:$D$98,4,FALSE),0)</f>
        <v>0</v>
      </c>
      <c r="U152" s="12">
        <f t="shared" si="3"/>
        <v>0</v>
      </c>
      <c r="V152" s="12">
        <f>IFERROR(VLOOKUP($D152,Total_DU!$B$5:$Z$174,22,0),0)</f>
        <v>0</v>
      </c>
      <c r="W152" s="12">
        <f>IFERROR(VLOOKUP($D152,Total_DU!$B$5:$Z$174,23,0),0)</f>
        <v>0</v>
      </c>
      <c r="X152" s="12">
        <f>IFERROR(VLOOKUP($D152,Total_DU!$B$5:$Z$174,24,0),0)</f>
        <v>0</v>
      </c>
      <c r="Y152" s="12">
        <f>IFERROR(VLOOKUP($D152,Total_DU!$B$5:$Z$174,25,0),0)</f>
        <v>0</v>
      </c>
      <c r="Z152" s="12">
        <f>IFERROR(VLOOKUP($D152,Population!$B$5:$Y$174,21,FALSE),0)</f>
        <v>0</v>
      </c>
      <c r="AA152" s="12">
        <f>IFERROR(VLOOKUP($D152,Population!$B$5:$Y$174,22,FALSE),0)</f>
        <v>0</v>
      </c>
      <c r="AB152" s="12">
        <f>IFERROR(VLOOKUP($D152,Population!$B$5:$Y$174,23,FALSE),0)</f>
        <v>0</v>
      </c>
      <c r="AC152" s="12">
        <f>IFERROR(VLOOKUP($D152,Population!$B$5:$Y$174,24,FALSE),0)</f>
        <v>0</v>
      </c>
    </row>
    <row r="153" spans="1:29" ht="15" x14ac:dyDescent="0.25">
      <c r="A153" s="11" t="s">
        <v>22</v>
      </c>
      <c r="B153" s="11" t="s">
        <v>630</v>
      </c>
      <c r="C153" s="11" t="s">
        <v>70</v>
      </c>
      <c r="D153" s="11">
        <v>645</v>
      </c>
      <c r="E153" s="11">
        <v>2022</v>
      </c>
      <c r="F153" s="12">
        <f>VLOOKUP($D153,'2022Data to Complete Appendix C'!$C$8:$Q$313,2,FALSE)</f>
        <v>8375</v>
      </c>
      <c r="G153" s="12">
        <f>VLOOKUP($D153,'2022Data to Complete Appendix C'!$C$8:$Q$313,3,FALSE)</f>
        <v>2907</v>
      </c>
      <c r="H153" s="12">
        <f>VLOOKUP($D153,'2022Data to Complete Appendix C'!$C$8:$Q$313,4,FALSE)</f>
        <v>27</v>
      </c>
      <c r="I153" s="12">
        <f>VLOOKUP($D153,'2022Data to Complete Appendix C'!$C$8:$Q$313,5,FALSE)</f>
        <v>3429</v>
      </c>
      <c r="J153" s="114">
        <f>VLOOKUP($D153,'2022Data to Complete Appendix C'!$C$8:$Q$313,6,FALSE)</f>
        <v>2.8809800000000001</v>
      </c>
      <c r="K153" s="114">
        <f>VLOOKUP($D153,'2022Data to Complete Appendix C'!$C$8:$Q$313,7,FALSE)</f>
        <v>1.95</v>
      </c>
      <c r="L153" s="114">
        <f>VLOOKUP($D153,'2022Data to Complete Appendix C'!$C$8:$Q$313,8,FALSE)</f>
        <v>1.0701799999999999</v>
      </c>
      <c r="M153" s="12">
        <f>VLOOKUP($D153,'2022Data to Complete Appendix C'!$C$8:$Q$313,9,FALSE)</f>
        <v>301.39299999999997</v>
      </c>
      <c r="N153" s="114">
        <f>VLOOKUP($D153,'2022Data to Complete Appendix C'!$C$8:$Q$313,10,FALSE)</f>
        <v>9.3938800000000003E-2</v>
      </c>
      <c r="O153" s="115">
        <f>VLOOKUP($D153,'2022Data to Complete Appendix C'!$C$8:$Q$313,11,FALSE)</f>
        <v>0.56699999999999995</v>
      </c>
      <c r="P153" s="115">
        <f>VLOOKUP($D153,'2022Data to Complete Appendix C'!$C$8:$Q$313,12,FALSE)</f>
        <v>0.772675</v>
      </c>
      <c r="Q153" s="115">
        <f>VLOOKUP($D153,'2022Data to Complete Appendix C'!$C$8:$Q$313,13,FALSE)</f>
        <v>0.65200000000000002</v>
      </c>
      <c r="R153" s="114">
        <f>VLOOKUP($D153,'2022Data to Complete Appendix C'!$C$8:$Q$313,14,FALSE)</f>
        <v>2.2999999999999998</v>
      </c>
      <c r="S153" s="115">
        <f>VLOOKUP($D153,'2022Data to Complete Appendix C'!$C$8:$Q$313,15,FALSE)</f>
        <v>-0.425678</v>
      </c>
      <c r="T153" s="12">
        <f>IFERROR(VLOOKUP($D153,'2022LodgingbyWUP'!$A$1:$D$98,4,FALSE),0)</f>
        <v>1</v>
      </c>
      <c r="U153" s="12">
        <f t="shared" si="3"/>
        <v>1.4996</v>
      </c>
      <c r="V153" s="12">
        <f>IFERROR(VLOOKUP($D153,Total_DU!$B$5:$Z$174,22,0),0)</f>
        <v>2051</v>
      </c>
      <c r="W153" s="12">
        <f>IFERROR(VLOOKUP($D153,Total_DU!$B$5:$Z$174,23,0),0)</f>
        <v>2072</v>
      </c>
      <c r="X153" s="12">
        <f>IFERROR(VLOOKUP($D153,Total_DU!$B$5:$Z$174,24,0),0)</f>
        <v>1931</v>
      </c>
      <c r="Y153" s="12">
        <f>IFERROR(VLOOKUP($D153,Total_DU!$B$5:$Z$174,25,0),0)</f>
        <v>2135</v>
      </c>
      <c r="Z153" s="12">
        <f>IFERROR(VLOOKUP($D153,Population!$B$5:$Y$174,21,FALSE),0)</f>
        <v>5660.2448047040325</v>
      </c>
      <c r="AA153" s="12">
        <f>IFERROR(VLOOKUP($D153,Population!$B$5:$Y$174,22,FALSE),0)</f>
        <v>5720</v>
      </c>
      <c r="AB153" s="12">
        <f>IFERROR(VLOOKUP($D153,Population!$B$5:$Y$174,23,FALSE),0)</f>
        <v>5330.5488121238686</v>
      </c>
      <c r="AC153" s="12">
        <f>IFERROR(VLOOKUP($D153,Population!$B$5:$Y$174,24,FALSE),0)</f>
        <v>5893</v>
      </c>
    </row>
    <row r="154" spans="1:29" ht="15" x14ac:dyDescent="0.25">
      <c r="A154" s="2" t="s">
        <v>22</v>
      </c>
      <c r="B154" s="2" t="s">
        <v>631</v>
      </c>
      <c r="C154" s="2" t="s">
        <v>123</v>
      </c>
      <c r="D154" s="2">
        <v>1616</v>
      </c>
      <c r="E154" s="11">
        <v>2022</v>
      </c>
      <c r="F154" s="12">
        <f>VLOOKUP($D154,'2022Data to Complete Appendix C'!$C$8:$Q$313,2,FALSE)</f>
        <v>672</v>
      </c>
      <c r="G154" s="12">
        <f>VLOOKUP($D154,'2022Data to Complete Appendix C'!$C$8:$Q$313,3,FALSE)</f>
        <v>398</v>
      </c>
      <c r="H154" s="12">
        <f>VLOOKUP($D154,'2022Data to Complete Appendix C'!$C$8:$Q$313,4,FALSE)</f>
        <v>0</v>
      </c>
      <c r="I154" s="12">
        <f>VLOOKUP($D154,'2022Data to Complete Appendix C'!$C$8:$Q$313,5,FALSE)</f>
        <v>614</v>
      </c>
      <c r="J154" s="114">
        <f>VLOOKUP($D154,'2022Data to Complete Appendix C'!$C$8:$Q$313,6,FALSE)</f>
        <v>1.6884399999999999</v>
      </c>
      <c r="K154" s="114">
        <f>VLOOKUP($D154,'2022Data to Complete Appendix C'!$C$8:$Q$313,7,FALSE)</f>
        <v>1.95</v>
      </c>
      <c r="L154" s="114">
        <f>VLOOKUP($D154,'2022Data to Complete Appendix C'!$C$8:$Q$313,8,FALSE)</f>
        <v>1.1256200000000001</v>
      </c>
      <c r="M154" s="12">
        <f>VLOOKUP($D154,'2022Data to Complete Appendix C'!$C$8:$Q$313,9,FALSE)</f>
        <v>43.290599999999998</v>
      </c>
      <c r="N154" s="114">
        <f>VLOOKUP($D154,'2022Data to Complete Appendix C'!$C$8:$Q$313,10,FALSE)</f>
        <v>9.8099900000000004E-2</v>
      </c>
      <c r="O154" s="115">
        <f>VLOOKUP($D154,'2022Data to Complete Appendix C'!$C$8:$Q$313,11,FALSE)</f>
        <v>0.56699999999999995</v>
      </c>
      <c r="P154" s="115">
        <f>VLOOKUP($D154,'2022Data to Complete Appendix C'!$C$8:$Q$313,12,FALSE)</f>
        <v>0.772675</v>
      </c>
      <c r="Q154" s="115">
        <f>VLOOKUP($D154,'2022Data to Complete Appendix C'!$C$8:$Q$313,13,FALSE)</f>
        <v>0.65200000000000002</v>
      </c>
      <c r="R154" s="114">
        <f>VLOOKUP($D154,'2022Data to Complete Appendix C'!$C$8:$Q$313,14,FALSE)</f>
        <v>2.2999999999999998</v>
      </c>
      <c r="S154" s="115">
        <f>VLOOKUP($D154,'2022Data to Complete Appendix C'!$C$8:$Q$313,15,FALSE)</f>
        <v>-0.103645</v>
      </c>
      <c r="T154" s="12">
        <f>IFERROR(VLOOKUP($D154,'2022LodgingbyWUP'!$A$1:$D$98,4,FALSE),0)</f>
        <v>0</v>
      </c>
      <c r="U154" s="12">
        <f t="shared" si="3"/>
        <v>0</v>
      </c>
      <c r="V154" s="12" t="str">
        <f>IFERROR(VLOOKUP($D154,Total_DU!$B$5:$Z$174,22,0),0)</f>
        <v>NA</v>
      </c>
      <c r="W154" s="12" t="str">
        <f>IFERROR(VLOOKUP($D154,Total_DU!$B$5:$Z$174,23,0),0)</f>
        <v>NA</v>
      </c>
      <c r="X154" s="12" t="str">
        <f>IFERROR(VLOOKUP($D154,Total_DU!$B$5:$Z$174,24,0),0)</f>
        <v>NA</v>
      </c>
      <c r="Y154" s="12" t="str">
        <f>IFERROR(VLOOKUP($D154,Total_DU!$B$5:$Z$174,25,0),0)</f>
        <v>NA</v>
      </c>
      <c r="Z154" s="12" t="str">
        <f>IFERROR(VLOOKUP($D154,Population!$B$5:$Y$174,21,FALSE),0)</f>
        <v>NA</v>
      </c>
      <c r="AA154" s="12" t="str">
        <f>IFERROR(VLOOKUP($D154,Population!$B$5:$Y$174,22,FALSE),0)</f>
        <v>NA</v>
      </c>
      <c r="AB154" s="12" t="str">
        <f>IFERROR(VLOOKUP($D154,Population!$B$5:$Y$174,23,FALSE),0)</f>
        <v>NA</v>
      </c>
      <c r="AC154" s="12" t="str">
        <f>IFERROR(VLOOKUP($D154,Population!$B$5:$Y$174,24,FALSE),0)</f>
        <v>NA</v>
      </c>
    </row>
    <row r="155" spans="1:29" ht="15" x14ac:dyDescent="0.25">
      <c r="A155" s="11" t="s">
        <v>22</v>
      </c>
      <c r="B155" s="11" t="s">
        <v>632</v>
      </c>
      <c r="C155" s="11" t="s">
        <v>105</v>
      </c>
      <c r="D155" s="11">
        <v>1625</v>
      </c>
      <c r="E155" s="11">
        <v>2022</v>
      </c>
      <c r="F155" s="12">
        <f>VLOOKUP($D155,'2022Data to Complete Appendix C'!$C$8:$Q$313,2,FALSE)</f>
        <v>1495</v>
      </c>
      <c r="G155" s="12">
        <f>VLOOKUP($D155,'2022Data to Complete Appendix C'!$C$8:$Q$313,3,FALSE)</f>
        <v>824</v>
      </c>
      <c r="H155" s="12">
        <f>VLOOKUP($D155,'2022Data to Complete Appendix C'!$C$8:$Q$313,4,FALSE)</f>
        <v>0</v>
      </c>
      <c r="I155" s="12">
        <f>VLOOKUP($D155,'2022Data to Complete Appendix C'!$C$8:$Q$313,5,FALSE)</f>
        <v>1037</v>
      </c>
      <c r="J155" s="114">
        <f>VLOOKUP($D155,'2022Data to Complete Appendix C'!$C$8:$Q$313,6,FALSE)</f>
        <v>1.8143199999999999</v>
      </c>
      <c r="K155" s="114">
        <f>VLOOKUP($D155,'2022Data to Complete Appendix C'!$C$8:$Q$313,7,FALSE)</f>
        <v>1.95</v>
      </c>
      <c r="L155" s="114">
        <f>VLOOKUP($D155,'2022Data to Complete Appendix C'!$C$8:$Q$313,8,FALSE)</f>
        <v>1.14069</v>
      </c>
      <c r="M155" s="12">
        <f>VLOOKUP($D155,'2022Data to Complete Appendix C'!$C$8:$Q$313,9,FALSE)</f>
        <v>107.864</v>
      </c>
      <c r="N155" s="114">
        <f>VLOOKUP($D155,'2022Data to Complete Appendix C'!$C$8:$Q$313,10,FALSE)</f>
        <v>0.11575100000000001</v>
      </c>
      <c r="O155" s="115">
        <f>VLOOKUP($D155,'2022Data to Complete Appendix C'!$C$8:$Q$313,11,FALSE)</f>
        <v>0.56699999999999995</v>
      </c>
      <c r="P155" s="115">
        <f>VLOOKUP($D155,'2022Data to Complete Appendix C'!$C$8:$Q$313,12,FALSE)</f>
        <v>0.772675</v>
      </c>
      <c r="Q155" s="115">
        <f>VLOOKUP($D155,'2022Data to Complete Appendix C'!$C$8:$Q$313,13,FALSE)</f>
        <v>0.65200000000000002</v>
      </c>
      <c r="R155" s="114">
        <f>VLOOKUP($D155,'2022Data to Complete Appendix C'!$C$8:$Q$313,14,FALSE)</f>
        <v>2.2999999999999998</v>
      </c>
      <c r="S155" s="115">
        <f>VLOOKUP($D155,'2022Data to Complete Appendix C'!$C$8:$Q$313,15,FALSE)</f>
        <v>-0.13492999999999999</v>
      </c>
      <c r="T155" s="12">
        <f>IFERROR(VLOOKUP($D155,'2022LodgingbyWUP'!$A$1:$D$98,4,FALSE),0)</f>
        <v>0</v>
      </c>
      <c r="U155" s="12">
        <f t="shared" si="3"/>
        <v>0</v>
      </c>
      <c r="V155" s="12">
        <f>IFERROR(VLOOKUP($D155,Total_DU!$B$5:$Z$174,22,0),0)</f>
        <v>814</v>
      </c>
      <c r="W155" s="12">
        <f>IFERROR(VLOOKUP($D155,Total_DU!$B$5:$Z$174,23,0),0)</f>
        <v>814</v>
      </c>
      <c r="X155" s="12">
        <f>IFERROR(VLOOKUP($D155,Total_DU!$B$5:$Z$174,24,0),0)</f>
        <v>814</v>
      </c>
      <c r="Y155" s="12">
        <f>IFERROR(VLOOKUP($D155,Total_DU!$B$5:$Z$174,25,0),0)</f>
        <v>814</v>
      </c>
      <c r="Z155" s="12">
        <f>IFERROR(VLOOKUP($D155,Population!$B$5:$Y$174,21,FALSE),0)</f>
        <v>1447.8741512625775</v>
      </c>
      <c r="AA155" s="12">
        <f>IFERROR(VLOOKUP($D155,Population!$B$5:$Y$174,22,FALSE),0)</f>
        <v>1447.8741512625775</v>
      </c>
      <c r="AB155" s="12">
        <f>IFERROR(VLOOKUP($D155,Population!$B$5:$Y$174,23,FALSE),0)</f>
        <v>1447.8741274030713</v>
      </c>
      <c r="AC155" s="12">
        <f>IFERROR(VLOOKUP($D155,Population!$B$5:$Y$174,24,FALSE),0)</f>
        <v>1448</v>
      </c>
    </row>
    <row r="156" spans="1:29" ht="15" x14ac:dyDescent="0.25">
      <c r="A156" s="2" t="s">
        <v>22</v>
      </c>
      <c r="B156" s="2" t="s">
        <v>633</v>
      </c>
      <c r="C156" s="2" t="s">
        <v>119</v>
      </c>
      <c r="D156" s="2">
        <v>2083</v>
      </c>
      <c r="E156" s="11">
        <v>2022</v>
      </c>
      <c r="F156" s="12">
        <f>VLOOKUP($D156,'2022Data to Complete Appendix C'!$C$8:$Q$313,2,FALSE)</f>
        <v>498</v>
      </c>
      <c r="G156" s="12">
        <f>VLOOKUP($D156,'2022Data to Complete Appendix C'!$C$8:$Q$313,3,FALSE)</f>
        <v>167</v>
      </c>
      <c r="H156" s="12">
        <f>VLOOKUP($D156,'2022Data to Complete Appendix C'!$C$8:$Q$313,4,FALSE)</f>
        <v>0</v>
      </c>
      <c r="I156" s="12">
        <f>VLOOKUP($D156,'2022Data to Complete Appendix C'!$C$8:$Q$313,5,FALSE)</f>
        <v>190</v>
      </c>
      <c r="J156" s="114">
        <f>VLOOKUP($D156,'2022Data to Complete Appendix C'!$C$8:$Q$313,6,FALSE)</f>
        <v>2.98204</v>
      </c>
      <c r="K156" s="114">
        <f>VLOOKUP($D156,'2022Data to Complete Appendix C'!$C$8:$Q$313,7,FALSE)</f>
        <v>1.95</v>
      </c>
      <c r="L156" s="114">
        <f>VLOOKUP($D156,'2022Data to Complete Appendix C'!$C$8:$Q$313,8,FALSE)</f>
        <v>1.0542899999999999</v>
      </c>
      <c r="M156" s="12">
        <f>VLOOKUP($D156,'2022Data to Complete Appendix C'!$C$8:$Q$313,9,FALSE)</f>
        <v>13.864599999999999</v>
      </c>
      <c r="N156" s="114">
        <f>VLOOKUP($D156,'2022Data to Complete Appendix C'!$C$8:$Q$313,10,FALSE)</f>
        <v>7.6657199999999995E-2</v>
      </c>
      <c r="O156" s="115">
        <f>VLOOKUP($D156,'2022Data to Complete Appendix C'!$C$8:$Q$313,11,FALSE)</f>
        <v>0.56699999999999995</v>
      </c>
      <c r="P156" s="115">
        <f>VLOOKUP($D156,'2022Data to Complete Appendix C'!$C$8:$Q$313,12,FALSE)</f>
        <v>0.772675</v>
      </c>
      <c r="Q156" s="115">
        <f>VLOOKUP($D156,'2022Data to Complete Appendix C'!$C$8:$Q$313,13,FALSE)</f>
        <v>0.65200000000000002</v>
      </c>
      <c r="R156" s="114">
        <f>VLOOKUP($D156,'2022Data to Complete Appendix C'!$C$8:$Q$313,14,FALSE)</f>
        <v>2.2999999999999998</v>
      </c>
      <c r="S156" s="115">
        <f>VLOOKUP($D156,'2022Data to Complete Appendix C'!$C$8:$Q$313,15,FALSE)</f>
        <v>-0.569828</v>
      </c>
      <c r="T156" s="12">
        <f>IFERROR(VLOOKUP($D156,'2022LodgingbyWUP'!$A$1:$D$98,4,FALSE),0)</f>
        <v>0</v>
      </c>
      <c r="U156" s="12">
        <f t="shared" si="3"/>
        <v>0</v>
      </c>
      <c r="V156" s="12">
        <f>IFERROR(VLOOKUP($D156,Total_DU!$B$5:$Z$174,22,0),0)</f>
        <v>0</v>
      </c>
      <c r="W156" s="12">
        <f>IFERROR(VLOOKUP($D156,Total_DU!$B$5:$Z$174,23,0),0)</f>
        <v>0</v>
      </c>
      <c r="X156" s="12">
        <f>IFERROR(VLOOKUP($D156,Total_DU!$B$5:$Z$174,24,0),0)</f>
        <v>0</v>
      </c>
      <c r="Y156" s="12">
        <f>IFERROR(VLOOKUP($D156,Total_DU!$B$5:$Z$174,25,0),0)</f>
        <v>0</v>
      </c>
      <c r="Z156" s="12">
        <f>IFERROR(VLOOKUP($D156,Population!$B$5:$Y$174,21,FALSE),0)</f>
        <v>0</v>
      </c>
      <c r="AA156" s="12">
        <f>IFERROR(VLOOKUP($D156,Population!$B$5:$Y$174,22,FALSE),0)</f>
        <v>0</v>
      </c>
      <c r="AB156" s="12">
        <f>IFERROR(VLOOKUP($D156,Population!$B$5:$Y$174,23,FALSE),0)</f>
        <v>0</v>
      </c>
      <c r="AC156" s="12">
        <f>IFERROR(VLOOKUP($D156,Population!$B$5:$Y$174,24,FALSE),0)</f>
        <v>0</v>
      </c>
    </row>
    <row r="157" spans="1:29" ht="15" x14ac:dyDescent="0.25">
      <c r="A157" s="11" t="s">
        <v>22</v>
      </c>
      <c r="B157" s="11" t="s">
        <v>634</v>
      </c>
      <c r="C157" s="11" t="s">
        <v>168</v>
      </c>
      <c r="D157" s="11">
        <v>2332</v>
      </c>
      <c r="E157" s="11">
        <v>2022</v>
      </c>
      <c r="F157" s="12">
        <f>VLOOKUP($D157,'2022Data to Complete Appendix C'!$C$8:$Q$313,2,FALSE)</f>
        <v>1903</v>
      </c>
      <c r="G157" s="12">
        <f>VLOOKUP($D157,'2022Data to Complete Appendix C'!$C$8:$Q$313,3,FALSE)</f>
        <v>761</v>
      </c>
      <c r="H157" s="12">
        <f>VLOOKUP($D157,'2022Data to Complete Appendix C'!$C$8:$Q$313,4,FALSE)</f>
        <v>14</v>
      </c>
      <c r="I157" s="12">
        <f>VLOOKUP($D157,'2022Data to Complete Appendix C'!$C$8:$Q$313,5,FALSE)</f>
        <v>959</v>
      </c>
      <c r="J157" s="114">
        <f>VLOOKUP($D157,'2022Data to Complete Appendix C'!$C$8:$Q$313,6,FALSE)</f>
        <v>2.5006599999999999</v>
      </c>
      <c r="K157" s="114">
        <f>VLOOKUP($D157,'2022Data to Complete Appendix C'!$C$8:$Q$313,7,FALSE)</f>
        <v>1.95</v>
      </c>
      <c r="L157" s="114">
        <f>VLOOKUP($D157,'2022Data to Complete Appendix C'!$C$8:$Q$313,8,FALSE)</f>
        <v>1.16486</v>
      </c>
      <c r="M157" s="12">
        <f>VLOOKUP($D157,'2022Data to Complete Appendix C'!$C$8:$Q$313,9,FALSE)</f>
        <v>160.88200000000001</v>
      </c>
      <c r="N157" s="114">
        <f>VLOOKUP($D157,'2022Data to Complete Appendix C'!$C$8:$Q$313,10,FALSE)</f>
        <v>0.174514</v>
      </c>
      <c r="O157" s="115">
        <f>VLOOKUP($D157,'2022Data to Complete Appendix C'!$C$8:$Q$313,11,FALSE)</f>
        <v>0.56699999999999995</v>
      </c>
      <c r="P157" s="115">
        <f>VLOOKUP($D157,'2022Data to Complete Appendix C'!$C$8:$Q$313,12,FALSE)</f>
        <v>0.772675</v>
      </c>
      <c r="Q157" s="115">
        <f>VLOOKUP($D157,'2022Data to Complete Appendix C'!$C$8:$Q$313,13,FALSE)</f>
        <v>0.65200000000000002</v>
      </c>
      <c r="R157" s="114">
        <f>VLOOKUP($D157,'2022Data to Complete Appendix C'!$C$8:$Q$313,14,FALSE)</f>
        <v>2.2999999999999998</v>
      </c>
      <c r="S157" s="115">
        <f>VLOOKUP($D157,'2022Data to Complete Appendix C'!$C$8:$Q$313,15,FALSE)</f>
        <v>-0.103645</v>
      </c>
      <c r="T157" s="12">
        <f>IFERROR(VLOOKUP($D157,'2022LodgingbyWUP'!$A$1:$D$98,4,FALSE),0)</f>
        <v>48</v>
      </c>
      <c r="U157" s="12">
        <f t="shared" si="3"/>
        <v>71.980799999999988</v>
      </c>
      <c r="V157" s="12">
        <f>IFERROR(VLOOKUP($D157,Total_DU!$B$5:$Z$174,22,0),0)</f>
        <v>706</v>
      </c>
      <c r="W157" s="12">
        <f>IFERROR(VLOOKUP($D157,Total_DU!$B$5:$Z$174,23,0),0)</f>
        <v>822</v>
      </c>
      <c r="X157" s="12">
        <f>IFERROR(VLOOKUP($D157,Total_DU!$B$5:$Z$174,24,0),0)</f>
        <v>778</v>
      </c>
      <c r="Y157" s="12">
        <f>IFERROR(VLOOKUP($D157,Total_DU!$B$5:$Z$174,25,0),0)</f>
        <v>817</v>
      </c>
      <c r="Z157" s="12">
        <f>IFERROR(VLOOKUP($D157,Population!$B$5:$Y$174,21,FALSE),0)</f>
        <v>1761.1456394371407</v>
      </c>
      <c r="AA157" s="12">
        <f>IFERROR(VLOOKUP($D157,Population!$B$5:$Y$174,22,FALSE),0)</f>
        <v>1996.6734017221593</v>
      </c>
      <c r="AB157" s="12">
        <f>IFERROR(VLOOKUP($D157,Population!$B$5:$Y$174,23,FALSE),0)</f>
        <v>1892.6499178643321</v>
      </c>
      <c r="AC157" s="12">
        <f>IFERROR(VLOOKUP($D157,Population!$B$5:$Y$174,24,FALSE),0)</f>
        <v>1968</v>
      </c>
    </row>
    <row r="158" spans="1:29" ht="15" x14ac:dyDescent="0.25">
      <c r="A158" s="2" t="s">
        <v>22</v>
      </c>
      <c r="B158" s="2" t="s">
        <v>635</v>
      </c>
      <c r="C158" s="2" t="s">
        <v>485</v>
      </c>
      <c r="D158" s="2">
        <v>2410</v>
      </c>
      <c r="E158" s="11">
        <v>2022</v>
      </c>
      <c r="F158" s="12">
        <f>VLOOKUP($D158,'2022Data to Complete Appendix C'!$C$8:$Q$313,2,FALSE)</f>
        <v>673</v>
      </c>
      <c r="G158" s="12">
        <f>VLOOKUP($D158,'2022Data to Complete Appendix C'!$C$8:$Q$313,3,FALSE)</f>
        <v>287</v>
      </c>
      <c r="H158" s="12">
        <f>VLOOKUP($D158,'2022Data to Complete Appendix C'!$C$8:$Q$313,4,FALSE)</f>
        <v>0</v>
      </c>
      <c r="I158" s="12">
        <f>VLOOKUP($D158,'2022Data to Complete Appendix C'!$C$8:$Q$313,5,FALSE)</f>
        <v>328</v>
      </c>
      <c r="J158" s="114">
        <f>VLOOKUP($D158,'2022Data to Complete Appendix C'!$C$8:$Q$313,6,FALSE)</f>
        <v>2.3449499999999999</v>
      </c>
      <c r="K158" s="114">
        <f>VLOOKUP($D158,'2022Data to Complete Appendix C'!$C$8:$Q$313,7,FALSE)</f>
        <v>1.95</v>
      </c>
      <c r="L158" s="114">
        <f>VLOOKUP($D158,'2022Data to Complete Appendix C'!$C$8:$Q$313,8,FALSE)</f>
        <v>1.05406</v>
      </c>
      <c r="M158" s="12">
        <f>VLOOKUP($D158,'2022Data to Complete Appendix C'!$C$8:$Q$313,9,FALSE)</f>
        <v>18.657599999999999</v>
      </c>
      <c r="N158" s="114">
        <f>VLOOKUP($D158,'2022Data to Complete Appendix C'!$C$8:$Q$313,10,FALSE)</f>
        <v>6.1040900000000002E-2</v>
      </c>
      <c r="O158" s="115">
        <f>VLOOKUP($D158,'2022Data to Complete Appendix C'!$C$8:$Q$313,11,FALSE)</f>
        <v>0.56699999999999995</v>
      </c>
      <c r="P158" s="115">
        <f>VLOOKUP($D158,'2022Data to Complete Appendix C'!$C$8:$Q$313,12,FALSE)</f>
        <v>0.772675</v>
      </c>
      <c r="Q158" s="115">
        <f>VLOOKUP($D158,'2022Data to Complete Appendix C'!$C$8:$Q$313,13,FALSE)</f>
        <v>0.65200000000000002</v>
      </c>
      <c r="R158" s="114">
        <f>VLOOKUP($D158,'2022Data to Complete Appendix C'!$C$8:$Q$313,14,FALSE)</f>
        <v>2.2999999999999998</v>
      </c>
      <c r="S158" s="115">
        <f>VLOOKUP($D158,'2022Data to Complete Appendix C'!$C$8:$Q$313,15,FALSE)</f>
        <v>-0.39089800000000002</v>
      </c>
      <c r="T158" s="12">
        <f>IFERROR(VLOOKUP($D158,'2022LodgingbyWUP'!$A$1:$D$98,4,FALSE),0)</f>
        <v>0</v>
      </c>
      <c r="U158" s="12">
        <f t="shared" si="3"/>
        <v>0</v>
      </c>
      <c r="V158" s="12">
        <f>IFERROR(VLOOKUP($D158,Total_DU!$B$5:$Z$174,22,0),0)</f>
        <v>0</v>
      </c>
      <c r="W158" s="12">
        <f>IFERROR(VLOOKUP($D158,Total_DU!$B$5:$Z$174,23,0),0)</f>
        <v>0</v>
      </c>
      <c r="X158" s="12">
        <f>IFERROR(VLOOKUP($D158,Total_DU!$B$5:$Z$174,24,0),0)</f>
        <v>0</v>
      </c>
      <c r="Y158" s="12">
        <f>IFERROR(VLOOKUP($D158,Total_DU!$B$5:$Z$174,25,0),0)</f>
        <v>0</v>
      </c>
      <c r="Z158" s="12">
        <f>IFERROR(VLOOKUP($D158,Population!$B$5:$Y$174,21,FALSE),0)</f>
        <v>0</v>
      </c>
      <c r="AA158" s="12">
        <f>IFERROR(VLOOKUP($D158,Population!$B$5:$Y$174,22,FALSE),0)</f>
        <v>0</v>
      </c>
      <c r="AB158" s="12">
        <f>IFERROR(VLOOKUP($D158,Population!$B$5:$Y$174,23,FALSE),0)</f>
        <v>0</v>
      </c>
      <c r="AC158" s="12">
        <f>IFERROR(VLOOKUP($D158,Population!$B$5:$Y$174,24,FALSE),0)</f>
        <v>0</v>
      </c>
    </row>
    <row r="159" spans="1:29" ht="15" x14ac:dyDescent="0.25">
      <c r="A159" s="11" t="s">
        <v>22</v>
      </c>
      <c r="B159" s="11" t="s">
        <v>636</v>
      </c>
      <c r="C159" s="11" t="s">
        <v>158</v>
      </c>
      <c r="D159" s="11">
        <v>2449</v>
      </c>
      <c r="E159" s="11">
        <v>2022</v>
      </c>
      <c r="F159" s="12">
        <f>VLOOKUP($D159,'2022Data to Complete Appendix C'!$C$8:$Q$313,2,FALSE)</f>
        <v>741</v>
      </c>
      <c r="G159" s="12">
        <f>VLOOKUP($D159,'2022Data to Complete Appendix C'!$C$8:$Q$313,3,FALSE)</f>
        <v>412</v>
      </c>
      <c r="H159" s="12">
        <f>VLOOKUP($D159,'2022Data to Complete Appendix C'!$C$8:$Q$313,4,FALSE)</f>
        <v>0</v>
      </c>
      <c r="I159" s="12">
        <f>VLOOKUP($D159,'2022Data to Complete Appendix C'!$C$8:$Q$313,5,FALSE)</f>
        <v>512</v>
      </c>
      <c r="J159" s="114">
        <f>VLOOKUP($D159,'2022Data to Complete Appendix C'!$C$8:$Q$313,6,FALSE)</f>
        <v>1.79854</v>
      </c>
      <c r="K159" s="114">
        <f>VLOOKUP($D159,'2022Data to Complete Appendix C'!$C$8:$Q$313,7,FALSE)</f>
        <v>1.95</v>
      </c>
      <c r="L159" s="114">
        <f>VLOOKUP($D159,'2022Data to Complete Appendix C'!$C$8:$Q$313,8,FALSE)</f>
        <v>1.1256200000000001</v>
      </c>
      <c r="M159" s="12">
        <f>VLOOKUP($D159,'2022Data to Complete Appendix C'!$C$8:$Q$313,9,FALSE)</f>
        <v>47.735599999999998</v>
      </c>
      <c r="N159" s="114">
        <f>VLOOKUP($D159,'2022Data to Complete Appendix C'!$C$8:$Q$313,10,FALSE)</f>
        <v>0.10383299999999999</v>
      </c>
      <c r="O159" s="115">
        <f>VLOOKUP($D159,'2022Data to Complete Appendix C'!$C$8:$Q$313,11,FALSE)</f>
        <v>0.56699999999999995</v>
      </c>
      <c r="P159" s="115">
        <f>VLOOKUP($D159,'2022Data to Complete Appendix C'!$C$8:$Q$313,12,FALSE)</f>
        <v>0.772675</v>
      </c>
      <c r="Q159" s="115">
        <f>VLOOKUP($D159,'2022Data to Complete Appendix C'!$C$8:$Q$313,13,FALSE)</f>
        <v>0.65200000000000002</v>
      </c>
      <c r="R159" s="114">
        <f>VLOOKUP($D159,'2022Data to Complete Appendix C'!$C$8:$Q$313,14,FALSE)</f>
        <v>2.2999999999999998</v>
      </c>
      <c r="S159" s="115">
        <f>VLOOKUP($D159,'2022Data to Complete Appendix C'!$C$8:$Q$313,15,FALSE)</f>
        <v>0.10958900000000001</v>
      </c>
      <c r="T159" s="12">
        <f>IFERROR(VLOOKUP($D159,'2022LodgingbyWUP'!$A$1:$D$98,4,FALSE),0)</f>
        <v>1</v>
      </c>
      <c r="U159" s="12">
        <f t="shared" si="3"/>
        <v>1.4996</v>
      </c>
      <c r="V159" s="12">
        <f>IFERROR(VLOOKUP($D159,Total_DU!$B$5:$Z$174,22,0),0)</f>
        <v>0</v>
      </c>
      <c r="W159" s="12">
        <f>IFERROR(VLOOKUP($D159,Total_DU!$B$5:$Z$174,23,0),0)</f>
        <v>0</v>
      </c>
      <c r="X159" s="12">
        <f>IFERROR(VLOOKUP($D159,Total_DU!$B$5:$Z$174,24,0),0)</f>
        <v>0</v>
      </c>
      <c r="Y159" s="12">
        <f>IFERROR(VLOOKUP($D159,Total_DU!$B$5:$Z$174,25,0),0)</f>
        <v>0</v>
      </c>
      <c r="Z159" s="12">
        <f>IFERROR(VLOOKUP($D159,Population!$B$5:$Y$174,21,FALSE),0)</f>
        <v>0</v>
      </c>
      <c r="AA159" s="12">
        <f>IFERROR(VLOOKUP($D159,Population!$B$5:$Y$174,22,FALSE),0)</f>
        <v>0</v>
      </c>
      <c r="AB159" s="12">
        <f>IFERROR(VLOOKUP($D159,Population!$B$5:$Y$174,23,FALSE),0)</f>
        <v>0</v>
      </c>
      <c r="AC159" s="12">
        <f>IFERROR(VLOOKUP($D159,Population!$B$5:$Y$174,24,FALSE),0)</f>
        <v>0</v>
      </c>
    </row>
    <row r="160" spans="1:29" ht="15" x14ac:dyDescent="0.25">
      <c r="A160" s="2" t="s">
        <v>22</v>
      </c>
      <c r="B160" s="2" t="s">
        <v>637</v>
      </c>
      <c r="C160" s="2" t="s">
        <v>119</v>
      </c>
      <c r="D160" s="2">
        <v>3214</v>
      </c>
      <c r="E160" s="11">
        <v>2022</v>
      </c>
      <c r="F160" s="12">
        <f>VLOOKUP($D160,'2022Data to Complete Appendix C'!$C$8:$Q$313,2,FALSE)</f>
        <v>829</v>
      </c>
      <c r="G160" s="12">
        <f>VLOOKUP($D160,'2022Data to Complete Appendix C'!$C$8:$Q$313,3,FALSE)</f>
        <v>276</v>
      </c>
      <c r="H160" s="12">
        <f>VLOOKUP($D160,'2022Data to Complete Appendix C'!$C$8:$Q$313,4,FALSE)</f>
        <v>0</v>
      </c>
      <c r="I160" s="12">
        <f>VLOOKUP($D160,'2022Data to Complete Appendix C'!$C$8:$Q$313,5,FALSE)</f>
        <v>304</v>
      </c>
      <c r="J160" s="114">
        <f>VLOOKUP($D160,'2022Data to Complete Appendix C'!$C$8:$Q$313,6,FALSE)</f>
        <v>3.0036200000000002</v>
      </c>
      <c r="K160" s="114">
        <f>VLOOKUP($D160,'2022Data to Complete Appendix C'!$C$8:$Q$313,7,FALSE)</f>
        <v>1.95</v>
      </c>
      <c r="L160" s="114">
        <f>VLOOKUP($D160,'2022Data to Complete Appendix C'!$C$8:$Q$313,8,FALSE)</f>
        <v>1.07664</v>
      </c>
      <c r="M160" s="12">
        <f>VLOOKUP($D160,'2022Data to Complete Appendix C'!$C$8:$Q$313,9,FALSE)</f>
        <v>32.582700000000003</v>
      </c>
      <c r="N160" s="114">
        <f>VLOOKUP($D160,'2022Data to Complete Appendix C'!$C$8:$Q$313,10,FALSE)</f>
        <v>0.105588</v>
      </c>
      <c r="O160" s="115">
        <f>VLOOKUP($D160,'2022Data to Complete Appendix C'!$C$8:$Q$313,11,FALSE)</f>
        <v>0.56699999999999995</v>
      </c>
      <c r="P160" s="115">
        <f>VLOOKUP($D160,'2022Data to Complete Appendix C'!$C$8:$Q$313,12,FALSE)</f>
        <v>0.772675</v>
      </c>
      <c r="Q160" s="115">
        <f>VLOOKUP($D160,'2022Data to Complete Appendix C'!$C$8:$Q$313,13,FALSE)</f>
        <v>0.65200000000000002</v>
      </c>
      <c r="R160" s="114">
        <f>VLOOKUP($D160,'2022Data to Complete Appendix C'!$C$8:$Q$313,14,FALSE)</f>
        <v>2.2999999999999998</v>
      </c>
      <c r="S160" s="115">
        <f>VLOOKUP($D160,'2022Data to Complete Appendix C'!$C$8:$Q$313,15,FALSE)</f>
        <v>-8.1699400000000005E-3</v>
      </c>
      <c r="T160" s="12">
        <f>IFERROR(VLOOKUP($D160,'2022LodgingbyWUP'!$A$1:$D$98,4,FALSE),0)</f>
        <v>0</v>
      </c>
      <c r="U160" s="12">
        <f t="shared" si="3"/>
        <v>0</v>
      </c>
      <c r="V160" s="12">
        <f>IFERROR(VLOOKUP($D160,Total_DU!$B$5:$Z$174,22,0),0)</f>
        <v>0</v>
      </c>
      <c r="W160" s="12">
        <f>IFERROR(VLOOKUP($D160,Total_DU!$B$5:$Z$174,23,0),0)</f>
        <v>0</v>
      </c>
      <c r="X160" s="12">
        <f>IFERROR(VLOOKUP($D160,Total_DU!$B$5:$Z$174,24,0),0)</f>
        <v>0</v>
      </c>
      <c r="Y160" s="12">
        <f>IFERROR(VLOOKUP($D160,Total_DU!$B$5:$Z$174,25,0),0)</f>
        <v>0</v>
      </c>
      <c r="Z160" s="12">
        <f>IFERROR(VLOOKUP($D160,Population!$B$5:$Y$174,21,FALSE),0)</f>
        <v>0</v>
      </c>
      <c r="AA160" s="12">
        <f>IFERROR(VLOOKUP($D160,Population!$B$5:$Y$174,22,FALSE),0)</f>
        <v>0</v>
      </c>
      <c r="AB160" s="12">
        <f>IFERROR(VLOOKUP($D160,Population!$B$5:$Y$174,23,FALSE),0)</f>
        <v>0</v>
      </c>
      <c r="AC160" s="12">
        <f>IFERROR(VLOOKUP($D160,Population!$B$5:$Y$174,24,FALSE),0)</f>
        <v>0</v>
      </c>
    </row>
    <row r="161" spans="1:29" ht="15" x14ac:dyDescent="0.25">
      <c r="A161" s="11" t="s">
        <v>22</v>
      </c>
      <c r="B161" s="11" t="s">
        <v>638</v>
      </c>
      <c r="C161" s="11" t="s">
        <v>134</v>
      </c>
      <c r="D161" s="11">
        <v>3415</v>
      </c>
      <c r="E161" s="11">
        <v>2022</v>
      </c>
      <c r="F161" s="12">
        <f>VLOOKUP($D161,'2022Data to Complete Appendix C'!$C$8:$Q$313,2,FALSE)</f>
        <v>1262</v>
      </c>
      <c r="G161" s="12">
        <f>VLOOKUP($D161,'2022Data to Complete Appendix C'!$C$8:$Q$313,3,FALSE)</f>
        <v>624</v>
      </c>
      <c r="H161" s="12">
        <f>VLOOKUP($D161,'2022Data to Complete Appendix C'!$C$8:$Q$313,4,FALSE)</f>
        <v>0</v>
      </c>
      <c r="I161" s="12">
        <f>VLOOKUP($D161,'2022Data to Complete Appendix C'!$C$8:$Q$313,5,FALSE)</f>
        <v>734</v>
      </c>
      <c r="J161" s="114">
        <f>VLOOKUP($D161,'2022Data to Complete Appendix C'!$C$8:$Q$313,6,FALSE)</f>
        <v>2.02244</v>
      </c>
      <c r="K161" s="114">
        <f>VLOOKUP($D161,'2022Data to Complete Appendix C'!$C$8:$Q$313,7,FALSE)</f>
        <v>1.95</v>
      </c>
      <c r="L161" s="114">
        <f>VLOOKUP($D161,'2022Data to Complete Appendix C'!$C$8:$Q$313,8,FALSE)</f>
        <v>1.06446</v>
      </c>
      <c r="M161" s="12">
        <f>VLOOKUP($D161,'2022Data to Complete Appendix C'!$C$8:$Q$313,9,FALSE)</f>
        <v>41.717799999999997</v>
      </c>
      <c r="N161" s="114">
        <f>VLOOKUP($D161,'2022Data to Complete Appendix C'!$C$8:$Q$313,10,FALSE)</f>
        <v>6.2665899999999997E-2</v>
      </c>
      <c r="O161" s="115">
        <f>VLOOKUP($D161,'2022Data to Complete Appendix C'!$C$8:$Q$313,11,FALSE)</f>
        <v>0.56699999999999995</v>
      </c>
      <c r="P161" s="115">
        <f>VLOOKUP($D161,'2022Data to Complete Appendix C'!$C$8:$Q$313,12,FALSE)</f>
        <v>0.772675</v>
      </c>
      <c r="Q161" s="115">
        <f>VLOOKUP($D161,'2022Data to Complete Appendix C'!$C$8:$Q$313,13,FALSE)</f>
        <v>0.65200000000000002</v>
      </c>
      <c r="R161" s="114">
        <f>VLOOKUP($D161,'2022Data to Complete Appendix C'!$C$8:$Q$313,14,FALSE)</f>
        <v>2.2999999999999998</v>
      </c>
      <c r="S161" s="115">
        <f>VLOOKUP($D161,'2022Data to Complete Appendix C'!$C$8:$Q$313,15,FALSE)</f>
        <v>-0.50847500000000001</v>
      </c>
      <c r="T161" s="12">
        <f>IFERROR(VLOOKUP($D161,'2022LodgingbyWUP'!$A$1:$D$98,4,FALSE),0)</f>
        <v>0</v>
      </c>
      <c r="U161" s="12">
        <f t="shared" si="3"/>
        <v>0</v>
      </c>
      <c r="V161" s="12">
        <f>IFERROR(VLOOKUP($D161,Total_DU!$B$5:$Z$174,22,0),0)</f>
        <v>505</v>
      </c>
      <c r="W161" s="12">
        <f>IFERROR(VLOOKUP($D161,Total_DU!$B$5:$Z$174,23,0),0)</f>
        <v>505</v>
      </c>
      <c r="X161" s="12" t="str">
        <f>IFERROR(VLOOKUP($D161,Total_DU!$B$5:$Z$174,24,0),0)</f>
        <v>NA</v>
      </c>
      <c r="Y161" s="12" t="str">
        <f>IFERROR(VLOOKUP($D161,Total_DU!$B$5:$Z$174,25,0),0)</f>
        <v>NA</v>
      </c>
      <c r="Z161" s="12">
        <f>IFERROR(VLOOKUP($D161,Population!$B$5:$Y$174,21,FALSE),0)</f>
        <v>1005.0116964591563</v>
      </c>
      <c r="AA161" s="12">
        <f>IFERROR(VLOOKUP($D161,Population!$B$5:$Y$174,22,FALSE),0)</f>
        <v>1005.0116704151069</v>
      </c>
      <c r="AB161" s="12" t="str">
        <f>IFERROR(VLOOKUP($D161,Population!$B$5:$Y$174,23,FALSE),0)</f>
        <v>NA</v>
      </c>
      <c r="AC161" s="12" t="str">
        <f>IFERROR(VLOOKUP($D161,Population!$B$5:$Y$174,24,FALSE),0)</f>
        <v>NA</v>
      </c>
    </row>
    <row r="162" spans="1:29" ht="15" x14ac:dyDescent="0.25">
      <c r="A162" s="2" t="s">
        <v>22</v>
      </c>
      <c r="B162" s="2" t="s">
        <v>639</v>
      </c>
      <c r="C162" s="2" t="s">
        <v>136</v>
      </c>
      <c r="D162" s="2">
        <v>4005</v>
      </c>
      <c r="E162" s="11">
        <v>2022</v>
      </c>
      <c r="F162" s="12">
        <f>VLOOKUP($D162,'2022Data to Complete Appendix C'!$C$8:$Q$313,2,FALSE)</f>
        <v>3248</v>
      </c>
      <c r="G162" s="12">
        <f>VLOOKUP($D162,'2022Data to Complete Appendix C'!$C$8:$Q$313,3,FALSE)</f>
        <v>1240</v>
      </c>
      <c r="H162" s="12">
        <f>VLOOKUP($D162,'2022Data to Complete Appendix C'!$C$8:$Q$313,4,FALSE)</f>
        <v>229</v>
      </c>
      <c r="I162" s="12">
        <f>VLOOKUP($D162,'2022Data to Complete Appendix C'!$C$8:$Q$313,5,FALSE)</f>
        <v>1557</v>
      </c>
      <c r="J162" s="114">
        <f>VLOOKUP($D162,'2022Data to Complete Appendix C'!$C$8:$Q$313,6,FALSE)</f>
        <v>2.6193499999999998</v>
      </c>
      <c r="K162" s="114">
        <f>VLOOKUP($D162,'2022Data to Complete Appendix C'!$C$8:$Q$313,7,FALSE)</f>
        <v>1.95</v>
      </c>
      <c r="L162" s="114">
        <f>VLOOKUP($D162,'2022Data to Complete Appendix C'!$C$8:$Q$313,8,FALSE)</f>
        <v>1.1719200000000001</v>
      </c>
      <c r="M162" s="12">
        <f>VLOOKUP($D162,'2022Data to Complete Appendix C'!$C$8:$Q$313,9,FALSE)</f>
        <v>286.36</v>
      </c>
      <c r="N162" s="114">
        <f>VLOOKUP($D162,'2022Data to Complete Appendix C'!$C$8:$Q$313,10,FALSE)</f>
        <v>0.18761</v>
      </c>
      <c r="O162" s="115">
        <f>VLOOKUP($D162,'2022Data to Complete Appendix C'!$C$8:$Q$313,11,FALSE)</f>
        <v>0.56699999999999995</v>
      </c>
      <c r="P162" s="115">
        <f>VLOOKUP($D162,'2022Data to Complete Appendix C'!$C$8:$Q$313,12,FALSE)</f>
        <v>0.772675</v>
      </c>
      <c r="Q162" s="115">
        <f>VLOOKUP($D162,'2022Data to Complete Appendix C'!$C$8:$Q$313,13,FALSE)</f>
        <v>0.65200000000000002</v>
      </c>
      <c r="R162" s="114">
        <f>VLOOKUP($D162,'2022Data to Complete Appendix C'!$C$8:$Q$313,14,FALSE)</f>
        <v>2.2999999999999998</v>
      </c>
      <c r="S162" s="115">
        <f>VLOOKUP($D162,'2022Data to Complete Appendix C'!$C$8:$Q$313,15,FALSE)</f>
        <v>-0.44894400000000001</v>
      </c>
      <c r="T162" s="12">
        <f>IFERROR(VLOOKUP($D162,'2022LodgingbyWUP'!$A$1:$D$98,4,FALSE),0)</f>
        <v>1</v>
      </c>
      <c r="U162" s="12">
        <f t="shared" si="3"/>
        <v>1.4996</v>
      </c>
      <c r="V162" s="12">
        <f>IFERROR(VLOOKUP($D162,Total_DU!$B$5:$Z$174,22,0),0)</f>
        <v>1011</v>
      </c>
      <c r="W162" s="12">
        <f>IFERROR(VLOOKUP($D162,Total_DU!$B$5:$Z$174,23,0),0)</f>
        <v>1015</v>
      </c>
      <c r="X162" s="12">
        <f>IFERROR(VLOOKUP($D162,Total_DU!$B$5:$Z$174,24,0),0)</f>
        <v>1018</v>
      </c>
      <c r="Y162" s="12">
        <f>IFERROR(VLOOKUP($D162,Total_DU!$B$5:$Z$174,25,0),0)</f>
        <v>1057</v>
      </c>
      <c r="Z162" s="12">
        <f>IFERROR(VLOOKUP($D162,Population!$B$5:$Y$174,21,FALSE),0)</f>
        <v>2587.3005110125005</v>
      </c>
      <c r="AA162" s="12">
        <f>IFERROR(VLOOKUP($D162,Population!$B$5:$Y$174,22,FALSE),0)</f>
        <v>2597.5176426846874</v>
      </c>
      <c r="AB162" s="12">
        <f>IFERROR(VLOOKUP($D162,Population!$B$5:$Y$174,23,FALSE),0)</f>
        <v>2605.2006502248651</v>
      </c>
      <c r="AC162" s="12">
        <f>IFERROR(VLOOKUP($D162,Population!$B$5:$Y$174,24,FALSE),0)</f>
        <v>2705</v>
      </c>
    </row>
    <row r="163" spans="1:29" ht="15" x14ac:dyDescent="0.25">
      <c r="A163" s="11" t="s">
        <v>22</v>
      </c>
      <c r="B163" s="11" t="s">
        <v>640</v>
      </c>
      <c r="C163" s="11" t="s">
        <v>486</v>
      </c>
      <c r="D163" s="11">
        <v>4441</v>
      </c>
      <c r="E163" s="11">
        <v>2022</v>
      </c>
      <c r="F163" s="12">
        <f>VLOOKUP($D163,'2022Data to Complete Appendix C'!$C$8:$Q$313,2,FALSE)</f>
        <v>1016</v>
      </c>
      <c r="G163" s="12">
        <f>VLOOKUP($D163,'2022Data to Complete Appendix C'!$C$8:$Q$313,3,FALSE)</f>
        <v>288</v>
      </c>
      <c r="H163" s="12">
        <f>VLOOKUP($D163,'2022Data to Complete Appendix C'!$C$8:$Q$313,4,FALSE)</f>
        <v>0</v>
      </c>
      <c r="I163" s="12">
        <f>VLOOKUP($D163,'2022Data to Complete Appendix C'!$C$8:$Q$313,5,FALSE)</f>
        <v>307</v>
      </c>
      <c r="J163" s="114">
        <f>VLOOKUP($D163,'2022Data to Complete Appendix C'!$C$8:$Q$313,6,FALSE)</f>
        <v>3.5277799999999999</v>
      </c>
      <c r="K163" s="114">
        <f>VLOOKUP($D163,'2022Data to Complete Appendix C'!$C$8:$Q$313,7,FALSE)</f>
        <v>1.95</v>
      </c>
      <c r="L163" s="114">
        <f>VLOOKUP($D163,'2022Data to Complete Appendix C'!$C$8:$Q$313,8,FALSE)</f>
        <v>1.07056</v>
      </c>
      <c r="M163" s="12">
        <f>VLOOKUP($D163,'2022Data to Complete Appendix C'!$C$8:$Q$313,9,FALSE)</f>
        <v>36.764099999999999</v>
      </c>
      <c r="N163" s="114">
        <f>VLOOKUP($D163,'2022Data to Complete Appendix C'!$C$8:$Q$313,10,FALSE)</f>
        <v>0.113202</v>
      </c>
      <c r="O163" s="115">
        <f>VLOOKUP($D163,'2022Data to Complete Appendix C'!$C$8:$Q$313,11,FALSE)</f>
        <v>0.56699999999999995</v>
      </c>
      <c r="P163" s="115">
        <f>VLOOKUP($D163,'2022Data to Complete Appendix C'!$C$8:$Q$313,12,FALSE)</f>
        <v>0.772675</v>
      </c>
      <c r="Q163" s="115">
        <f>VLOOKUP($D163,'2022Data to Complete Appendix C'!$C$8:$Q$313,13,FALSE)</f>
        <v>0.65200000000000002</v>
      </c>
      <c r="R163" s="114">
        <f>VLOOKUP($D163,'2022Data to Complete Appendix C'!$C$8:$Q$313,14,FALSE)</f>
        <v>2.2999999999999998</v>
      </c>
      <c r="S163" s="115">
        <f>VLOOKUP($D163,'2022Data to Complete Appendix C'!$C$8:$Q$313,15,FALSE)</f>
        <v>-1.28041</v>
      </c>
      <c r="T163" s="12">
        <f>IFERROR(VLOOKUP($D163,'2022LodgingbyWUP'!$A$1:$D$98,4,FALSE),0)</f>
        <v>0</v>
      </c>
      <c r="U163" s="12">
        <f t="shared" si="3"/>
        <v>0</v>
      </c>
      <c r="V163" s="12">
        <f>IFERROR(VLOOKUP($D163,Total_DU!$B$5:$Z$174,22,0),0)</f>
        <v>0</v>
      </c>
      <c r="W163" s="12">
        <f>IFERROR(VLOOKUP($D163,Total_DU!$B$5:$Z$174,23,0),0)</f>
        <v>0</v>
      </c>
      <c r="X163" s="12">
        <f>IFERROR(VLOOKUP($D163,Total_DU!$B$5:$Z$174,24,0),0)</f>
        <v>0</v>
      </c>
      <c r="Y163" s="12">
        <f>IFERROR(VLOOKUP($D163,Total_DU!$B$5:$Z$174,25,0),0)</f>
        <v>0</v>
      </c>
      <c r="Z163" s="12">
        <f>IFERROR(VLOOKUP($D163,Population!$B$5:$Y$174,21,FALSE),0)</f>
        <v>0</v>
      </c>
      <c r="AA163" s="12">
        <f>IFERROR(VLOOKUP($D163,Population!$B$5:$Y$174,22,FALSE),0)</f>
        <v>0</v>
      </c>
      <c r="AB163" s="12">
        <f>IFERROR(VLOOKUP($D163,Population!$B$5:$Y$174,23,FALSE),0)</f>
        <v>0</v>
      </c>
      <c r="AC163" s="12">
        <f>IFERROR(VLOOKUP($D163,Population!$B$5:$Y$174,24,FALSE),0)</f>
        <v>0</v>
      </c>
    </row>
    <row r="164" spans="1:29" ht="15" x14ac:dyDescent="0.25">
      <c r="A164" s="2" t="s">
        <v>22</v>
      </c>
      <c r="B164" s="2" t="s">
        <v>641</v>
      </c>
      <c r="C164" s="2" t="s">
        <v>94</v>
      </c>
      <c r="D164" s="2">
        <v>4607</v>
      </c>
      <c r="E164" s="11">
        <v>2022</v>
      </c>
      <c r="F164" s="12">
        <f>VLOOKUP($D164,'2022Data to Complete Appendix C'!$C$8:$Q$313,2,FALSE)</f>
        <v>71834</v>
      </c>
      <c r="G164" s="12">
        <f>VLOOKUP($D164,'2022Data to Complete Appendix C'!$C$8:$Q$313,3,FALSE)</f>
        <v>29695</v>
      </c>
      <c r="H164" s="12">
        <f>VLOOKUP($D164,'2022Data to Complete Appendix C'!$C$8:$Q$313,4,FALSE)</f>
        <v>624</v>
      </c>
      <c r="I164" s="12">
        <f>VLOOKUP($D164,'2022Data to Complete Appendix C'!$C$8:$Q$313,5,FALSE)</f>
        <v>35098</v>
      </c>
      <c r="J164" s="114">
        <f>VLOOKUP($D164,'2022Data to Complete Appendix C'!$C$8:$Q$313,6,FALSE)</f>
        <v>2.41906</v>
      </c>
      <c r="K164" s="114">
        <f>VLOOKUP($D164,'2022Data to Complete Appendix C'!$C$8:$Q$313,7,FALSE)</f>
        <v>1.95</v>
      </c>
      <c r="L164" s="114">
        <f>VLOOKUP($D164,'2022Data to Complete Appendix C'!$C$8:$Q$313,8,FALSE)</f>
        <v>1.07328</v>
      </c>
      <c r="M164" s="12">
        <f>VLOOKUP($D164,'2022Data to Complete Appendix C'!$C$8:$Q$313,9,FALSE)</f>
        <v>2699.34</v>
      </c>
      <c r="N164" s="114">
        <f>VLOOKUP($D164,'2022Data to Complete Appendix C'!$C$8:$Q$313,10,FALSE)</f>
        <v>8.3327499999999999E-2</v>
      </c>
      <c r="O164" s="115">
        <f>VLOOKUP($D164,'2022Data to Complete Appendix C'!$C$8:$Q$313,11,FALSE)</f>
        <v>0.56699999999999995</v>
      </c>
      <c r="P164" s="115">
        <f>VLOOKUP($D164,'2022Data to Complete Appendix C'!$C$8:$Q$313,12,FALSE)</f>
        <v>0.772675</v>
      </c>
      <c r="Q164" s="115">
        <f>VLOOKUP($D164,'2022Data to Complete Appendix C'!$C$8:$Q$313,13,FALSE)</f>
        <v>0.65200000000000002</v>
      </c>
      <c r="R164" s="114">
        <f>VLOOKUP($D164,'2022Data to Complete Appendix C'!$C$8:$Q$313,14,FALSE)</f>
        <v>2.2999999999999998</v>
      </c>
      <c r="S164" s="115">
        <f>VLOOKUP($D164,'2022Data to Complete Appendix C'!$C$8:$Q$313,15,FALSE)</f>
        <v>2.24017E-2</v>
      </c>
      <c r="T164" s="12">
        <f>IFERROR(VLOOKUP($D164,'2022LodgingbyWUP'!$A$1:$D$98,4,FALSE),0)</f>
        <v>1835</v>
      </c>
      <c r="U164" s="12">
        <f t="shared" si="3"/>
        <v>2751.7660000000001</v>
      </c>
      <c r="V164" s="12">
        <f>IFERROR(VLOOKUP($D164,Total_DU!$B$5:$Z$174,22,0),0)</f>
        <v>33845</v>
      </c>
      <c r="W164" s="12">
        <f>IFERROR(VLOOKUP($D164,Total_DU!$B$5:$Z$174,23,0),0)</f>
        <v>34686</v>
      </c>
      <c r="X164" s="12">
        <f>IFERROR(VLOOKUP($D164,Total_DU!$B$5:$Z$174,24,0),0)</f>
        <v>35605</v>
      </c>
      <c r="Y164" s="12">
        <f>IFERROR(VLOOKUP($D164,Total_DU!$B$5:$Z$174,25,0),0)</f>
        <v>33787</v>
      </c>
      <c r="Z164" s="12">
        <f>IFERROR(VLOOKUP($D164,Population!$B$5:$Y$174,21,FALSE),0)</f>
        <v>82464.929654546155</v>
      </c>
      <c r="AA164" s="12">
        <f>IFERROR(VLOOKUP($D164,Population!$B$5:$Y$174,22,FALSE),0)</f>
        <v>84440.214802437491</v>
      </c>
      <c r="AB164" s="12">
        <f>IFERROR(VLOOKUP($D164,Population!$B$5:$Y$174,23,FALSE),0)</f>
        <v>86816.524424603675</v>
      </c>
      <c r="AC164" s="12">
        <f>IFERROR(VLOOKUP($D164,Population!$B$5:$Y$174,24,FALSE),0)</f>
        <v>82004</v>
      </c>
    </row>
    <row r="165" spans="1:29" ht="15" x14ac:dyDescent="0.25">
      <c r="A165" s="11" t="s">
        <v>22</v>
      </c>
      <c r="B165" s="11" t="s">
        <v>642</v>
      </c>
      <c r="C165" s="11" t="s">
        <v>74</v>
      </c>
      <c r="D165" s="11">
        <v>4658</v>
      </c>
      <c r="E165" s="11">
        <v>2022</v>
      </c>
      <c r="F165" s="12">
        <f>VLOOKUP($D165,'2022Data to Complete Appendix C'!$C$8:$Q$313,2,FALSE)</f>
        <v>27569</v>
      </c>
      <c r="G165" s="12">
        <f>VLOOKUP($D165,'2022Data to Complete Appendix C'!$C$8:$Q$313,3,FALSE)</f>
        <v>11226</v>
      </c>
      <c r="H165" s="12">
        <f>VLOOKUP($D165,'2022Data to Complete Appendix C'!$C$8:$Q$313,4,FALSE)</f>
        <v>352</v>
      </c>
      <c r="I165" s="12">
        <f>VLOOKUP($D165,'2022Data to Complete Appendix C'!$C$8:$Q$313,5,FALSE)</f>
        <v>13492</v>
      </c>
      <c r="J165" s="114">
        <f>VLOOKUP($D165,'2022Data to Complete Appendix C'!$C$8:$Q$313,6,FALSE)</f>
        <v>2.4558200000000001</v>
      </c>
      <c r="K165" s="114">
        <f>VLOOKUP($D165,'2022Data to Complete Appendix C'!$C$8:$Q$313,7,FALSE)</f>
        <v>1.95</v>
      </c>
      <c r="L165" s="114">
        <f>VLOOKUP($D165,'2022Data to Complete Appendix C'!$C$8:$Q$313,8,FALSE)</f>
        <v>1.1918500000000001</v>
      </c>
      <c r="M165" s="12">
        <f>VLOOKUP($D165,'2022Data to Complete Appendix C'!$C$8:$Q$313,9,FALSE)</f>
        <v>2712.39</v>
      </c>
      <c r="N165" s="114">
        <f>VLOOKUP($D165,'2022Data to Complete Appendix C'!$C$8:$Q$313,10,FALSE)</f>
        <v>0.19459899999999999</v>
      </c>
      <c r="O165" s="115">
        <f>VLOOKUP($D165,'2022Data to Complete Appendix C'!$C$8:$Q$313,11,FALSE)</f>
        <v>0.56699999999999995</v>
      </c>
      <c r="P165" s="115">
        <f>VLOOKUP($D165,'2022Data to Complete Appendix C'!$C$8:$Q$313,12,FALSE)</f>
        <v>0.772675</v>
      </c>
      <c r="Q165" s="115">
        <f>VLOOKUP($D165,'2022Data to Complete Appendix C'!$C$8:$Q$313,13,FALSE)</f>
        <v>0.65200000000000002</v>
      </c>
      <c r="R165" s="114">
        <f>VLOOKUP($D165,'2022Data to Complete Appendix C'!$C$8:$Q$313,14,FALSE)</f>
        <v>2.2999999999999998</v>
      </c>
      <c r="S165" s="115">
        <f>VLOOKUP($D165,'2022Data to Complete Appendix C'!$C$8:$Q$313,15,FALSE)</f>
        <v>0.13119900000000001</v>
      </c>
      <c r="T165" s="12">
        <f>IFERROR(VLOOKUP($D165,'2022LodgingbyWUP'!$A$1:$D$98,4,FALSE),0)</f>
        <v>467</v>
      </c>
      <c r="U165" s="12">
        <f t="shared" si="3"/>
        <v>700.31320000000005</v>
      </c>
      <c r="V165" s="12">
        <f>IFERROR(VLOOKUP($D165,Total_DU!$B$5:$Z$174,22,0),0)</f>
        <v>9162</v>
      </c>
      <c r="W165" s="12">
        <f>IFERROR(VLOOKUP($D165,Total_DU!$B$5:$Z$174,23,0),0)</f>
        <v>9298</v>
      </c>
      <c r="X165" s="12">
        <f>IFERROR(VLOOKUP($D165,Total_DU!$B$5:$Z$174,24,0),0)</f>
        <v>9371</v>
      </c>
      <c r="Y165" s="12">
        <f>IFERROR(VLOOKUP($D165,Total_DU!$B$5:$Z$174,25,0),0)</f>
        <v>10617</v>
      </c>
      <c r="Z165" s="12">
        <f>IFERROR(VLOOKUP($D165,Population!$B$5:$Y$174,21,FALSE),0)</f>
        <v>22263.29461686522</v>
      </c>
      <c r="AA165" s="12">
        <f>IFERROR(VLOOKUP($D165,Population!$B$5:$Y$174,22,FALSE),0)</f>
        <v>22413.966521197868</v>
      </c>
      <c r="AB165" s="12">
        <f>IFERROR(VLOOKUP($D165,Population!$B$5:$Y$174,23,FALSE),0)</f>
        <v>22590.628065004876</v>
      </c>
      <c r="AC165" s="12">
        <f>IFERROR(VLOOKUP($D165,Population!$B$5:$Y$174,24,FALSE),0)</f>
        <v>25316</v>
      </c>
    </row>
    <row r="166" spans="1:29" ht="15" x14ac:dyDescent="0.25">
      <c r="A166" s="2" t="s">
        <v>22</v>
      </c>
      <c r="B166" s="2" t="s">
        <v>643</v>
      </c>
      <c r="C166" s="2" t="s">
        <v>75</v>
      </c>
      <c r="D166" s="2">
        <v>4912</v>
      </c>
      <c r="E166" s="11">
        <v>2022</v>
      </c>
      <c r="F166" s="12">
        <f>VLOOKUP($D166,'2022Data to Complete Appendix C'!$C$8:$Q$313,2,FALSE)</f>
        <v>170772</v>
      </c>
      <c r="G166" s="12">
        <f>VLOOKUP($D166,'2022Data to Complete Appendix C'!$C$8:$Q$313,3,FALSE)</f>
        <v>68809</v>
      </c>
      <c r="H166" s="12">
        <f>VLOOKUP($D166,'2022Data to Complete Appendix C'!$C$8:$Q$313,4,FALSE)</f>
        <v>4178</v>
      </c>
      <c r="I166" s="12">
        <f>VLOOKUP($D166,'2022Data to Complete Appendix C'!$C$8:$Q$313,5,FALSE)</f>
        <v>79712</v>
      </c>
      <c r="J166" s="114">
        <f>VLOOKUP($D166,'2022Data to Complete Appendix C'!$C$8:$Q$313,6,FALSE)</f>
        <v>2.48183</v>
      </c>
      <c r="K166" s="114">
        <f>VLOOKUP($D166,'2022Data to Complete Appendix C'!$C$8:$Q$313,7,FALSE)</f>
        <v>1.95</v>
      </c>
      <c r="L166" s="114">
        <f>VLOOKUP($D166,'2022Data to Complete Appendix C'!$C$8:$Q$313,8,FALSE)</f>
        <v>1.0551999999999999</v>
      </c>
      <c r="M166" s="12">
        <f>VLOOKUP($D166,'2022Data to Complete Appendix C'!$C$8:$Q$313,9,FALSE)</f>
        <v>4834.25</v>
      </c>
      <c r="N166" s="114">
        <f>VLOOKUP($D166,'2022Data to Complete Appendix C'!$C$8:$Q$313,10,FALSE)</f>
        <v>6.56442E-2</v>
      </c>
      <c r="O166" s="115">
        <f>VLOOKUP($D166,'2022Data to Complete Appendix C'!$C$8:$Q$313,11,FALSE)</f>
        <v>0.56699999999999995</v>
      </c>
      <c r="P166" s="115">
        <f>VLOOKUP($D166,'2022Data to Complete Appendix C'!$C$8:$Q$313,12,FALSE)</f>
        <v>0.772675</v>
      </c>
      <c r="Q166" s="115">
        <f>VLOOKUP($D166,'2022Data to Complete Appendix C'!$C$8:$Q$313,13,FALSE)</f>
        <v>0.65200000000000002</v>
      </c>
      <c r="R166" s="114">
        <f>VLOOKUP($D166,'2022Data to Complete Appendix C'!$C$8:$Q$313,14,FALSE)</f>
        <v>2.2999999999999998</v>
      </c>
      <c r="S166" s="115">
        <f>VLOOKUP($D166,'2022Data to Complete Appendix C'!$C$8:$Q$313,15,FALSE)</f>
        <v>0.22267400000000001</v>
      </c>
      <c r="T166" s="12">
        <f>IFERROR(VLOOKUP($D166,'2022LodgingbyWUP'!$A$1:$D$98,4,FALSE),0)</f>
        <v>3837</v>
      </c>
      <c r="U166" s="12">
        <f t="shared" si="3"/>
        <v>5753.9651999999996</v>
      </c>
      <c r="V166" s="12">
        <f>IFERROR(VLOOKUP($D166,Total_DU!$B$5:$Z$174,22,0),0)</f>
        <v>69528</v>
      </c>
      <c r="W166" s="12">
        <f>IFERROR(VLOOKUP($D166,Total_DU!$B$5:$Z$174,23,0),0)</f>
        <v>70841</v>
      </c>
      <c r="X166" s="12">
        <f>IFERROR(VLOOKUP($D166,Total_DU!$B$5:$Z$174,24,0),0)</f>
        <v>70999</v>
      </c>
      <c r="Y166" s="12">
        <f>IFERROR(VLOOKUP($D166,Total_DU!$B$5:$Z$174,25,0),0)</f>
        <v>71790</v>
      </c>
      <c r="Z166" s="12">
        <f>IFERROR(VLOOKUP($D166,Population!$B$5:$Y$174,21,FALSE),0)</f>
        <v>180792</v>
      </c>
      <c r="AA166" s="12">
        <f>IFERROR(VLOOKUP($D166,Population!$B$5:$Y$174,22,FALSE),0)</f>
        <v>183547</v>
      </c>
      <c r="AB166" s="12">
        <f>IFERROR(VLOOKUP($D166,Population!$B$5:$Y$174,23,FALSE),0)</f>
        <v>184612.36583338919</v>
      </c>
      <c r="AC166" s="12">
        <f>IFERROR(VLOOKUP($D166,Population!$B$5:$Y$174,24,FALSE),0)</f>
        <v>185394</v>
      </c>
    </row>
    <row r="167" spans="1:29" ht="15" x14ac:dyDescent="0.25">
      <c r="A167" s="11" t="s">
        <v>22</v>
      </c>
      <c r="B167" s="11" t="s">
        <v>644</v>
      </c>
      <c r="C167" s="11" t="s">
        <v>109</v>
      </c>
      <c r="D167" s="11">
        <v>5251</v>
      </c>
      <c r="E167" s="11">
        <v>2022</v>
      </c>
      <c r="F167" s="12">
        <f>VLOOKUP($D167,'2022Data to Complete Appendix C'!$C$8:$Q$313,2,FALSE)</f>
        <v>2233</v>
      </c>
      <c r="G167" s="12">
        <f>VLOOKUP($D167,'2022Data to Complete Appendix C'!$C$8:$Q$313,3,FALSE)</f>
        <v>968</v>
      </c>
      <c r="H167" s="12">
        <f>VLOOKUP($D167,'2022Data to Complete Appendix C'!$C$8:$Q$313,4,FALSE)</f>
        <v>0</v>
      </c>
      <c r="I167" s="12">
        <f>VLOOKUP($D167,'2022Data to Complete Appendix C'!$C$8:$Q$313,5,FALSE)</f>
        <v>1666</v>
      </c>
      <c r="J167" s="114">
        <f>VLOOKUP($D167,'2022Data to Complete Appendix C'!$C$8:$Q$313,6,FALSE)</f>
        <v>2.3068200000000001</v>
      </c>
      <c r="K167" s="114">
        <f>VLOOKUP($D167,'2022Data to Complete Appendix C'!$C$8:$Q$313,7,FALSE)</f>
        <v>1.95</v>
      </c>
      <c r="L167" s="114">
        <f>VLOOKUP($D167,'2022Data to Complete Appendix C'!$C$8:$Q$313,8,FALSE)</f>
        <v>1.1256200000000001</v>
      </c>
      <c r="M167" s="12">
        <f>VLOOKUP($D167,'2022Data to Complete Appendix C'!$C$8:$Q$313,9,FALSE)</f>
        <v>143.851</v>
      </c>
      <c r="N167" s="114">
        <f>VLOOKUP($D167,'2022Data to Complete Appendix C'!$C$8:$Q$313,10,FALSE)</f>
        <v>0.12938</v>
      </c>
      <c r="O167" s="115">
        <f>VLOOKUP($D167,'2022Data to Complete Appendix C'!$C$8:$Q$313,11,FALSE)</f>
        <v>0.56699999999999995</v>
      </c>
      <c r="P167" s="115">
        <f>VLOOKUP($D167,'2022Data to Complete Appendix C'!$C$8:$Q$313,12,FALSE)</f>
        <v>0.772675</v>
      </c>
      <c r="Q167" s="115">
        <f>VLOOKUP($D167,'2022Data to Complete Appendix C'!$C$8:$Q$313,13,FALSE)</f>
        <v>0.65200000000000002</v>
      </c>
      <c r="R167" s="114">
        <f>VLOOKUP($D167,'2022Data to Complete Appendix C'!$C$8:$Q$313,14,FALSE)</f>
        <v>2.2999999999999998</v>
      </c>
      <c r="S167" s="115">
        <f>VLOOKUP($D167,'2022Data to Complete Appendix C'!$C$8:$Q$313,15,FALSE)</f>
        <v>-0.44907000000000002</v>
      </c>
      <c r="T167" s="12">
        <f>IFERROR(VLOOKUP($D167,'2022LodgingbyWUP'!$A$1:$D$98,4,FALSE),0)</f>
        <v>5</v>
      </c>
      <c r="U167" s="12">
        <f t="shared" si="3"/>
        <v>7.4980000000000002</v>
      </c>
      <c r="V167" s="12">
        <f>IFERROR(VLOOKUP($D167,Total_DU!$B$5:$Z$174,22,0),0)</f>
        <v>1229</v>
      </c>
      <c r="W167" s="12">
        <f>IFERROR(VLOOKUP($D167,Total_DU!$B$5:$Z$174,23,0),0)</f>
        <v>1229</v>
      </c>
      <c r="X167" s="12">
        <f>IFERROR(VLOOKUP($D167,Total_DU!$B$5:$Z$174,24,0),0)</f>
        <v>1229</v>
      </c>
      <c r="Y167" s="12">
        <f>IFERROR(VLOOKUP($D167,Total_DU!$B$5:$Z$174,25,0),0)</f>
        <v>1229</v>
      </c>
      <c r="Z167" s="12">
        <f>IFERROR(VLOOKUP($D167,Population!$B$5:$Y$174,21,FALSE),0)</f>
        <v>2713.7677233179252</v>
      </c>
      <c r="AA167" s="12">
        <f>IFERROR(VLOOKUP($D167,Population!$B$5:$Y$174,22,FALSE),0)</f>
        <v>2712.249532583508</v>
      </c>
      <c r="AB167" s="12">
        <f>IFERROR(VLOOKUP($D167,Population!$B$5:$Y$174,23,FALSE),0)</f>
        <v>2713.7530674493141</v>
      </c>
      <c r="AC167" s="12">
        <f>IFERROR(VLOOKUP($D167,Population!$B$5:$Y$174,24,FALSE),0)</f>
        <v>2712</v>
      </c>
    </row>
    <row r="168" spans="1:29" ht="15" x14ac:dyDescent="0.25">
      <c r="A168" s="2" t="s">
        <v>22</v>
      </c>
      <c r="B168" s="2" t="s">
        <v>645</v>
      </c>
      <c r="C168" s="2" t="s">
        <v>66</v>
      </c>
      <c r="D168" s="2">
        <v>5750</v>
      </c>
      <c r="E168" s="11">
        <v>2022</v>
      </c>
      <c r="F168" s="12">
        <f>VLOOKUP($D168,'2022Data to Complete Appendix C'!$C$8:$Q$313,2,FALSE)</f>
        <v>8906</v>
      </c>
      <c r="G168" s="12">
        <f>VLOOKUP($D168,'2022Data to Complete Appendix C'!$C$8:$Q$313,3,FALSE)</f>
        <v>3062</v>
      </c>
      <c r="H168" s="12">
        <f>VLOOKUP($D168,'2022Data to Complete Appendix C'!$C$8:$Q$313,4,FALSE)</f>
        <v>70</v>
      </c>
      <c r="I168" s="12">
        <f>VLOOKUP($D168,'2022Data to Complete Appendix C'!$C$8:$Q$313,5,FALSE)</f>
        <v>4242</v>
      </c>
      <c r="J168" s="114">
        <f>VLOOKUP($D168,'2022Data to Complete Appendix C'!$C$8:$Q$313,6,FALSE)</f>
        <v>2.90856</v>
      </c>
      <c r="K168" s="114">
        <f>VLOOKUP($D168,'2022Data to Complete Appendix C'!$C$8:$Q$313,7,FALSE)</f>
        <v>1.95</v>
      </c>
      <c r="L168" s="114">
        <f>VLOOKUP($D168,'2022Data to Complete Appendix C'!$C$8:$Q$313,8,FALSE)</f>
        <v>1.22095</v>
      </c>
      <c r="M168" s="12">
        <f>VLOOKUP($D168,'2022Data to Complete Appendix C'!$C$8:$Q$313,9,FALSE)</f>
        <v>1009.13</v>
      </c>
      <c r="N168" s="114">
        <f>VLOOKUP($D168,'2022Data to Complete Appendix C'!$C$8:$Q$313,10,FALSE)</f>
        <v>0.24787500000000001</v>
      </c>
      <c r="O168" s="115">
        <f>VLOOKUP($D168,'2022Data to Complete Appendix C'!$C$8:$Q$313,11,FALSE)</f>
        <v>0.56699999999999995</v>
      </c>
      <c r="P168" s="115">
        <f>VLOOKUP($D168,'2022Data to Complete Appendix C'!$C$8:$Q$313,12,FALSE)</f>
        <v>0.772675</v>
      </c>
      <c r="Q168" s="115">
        <f>VLOOKUP($D168,'2022Data to Complete Appendix C'!$C$8:$Q$313,13,FALSE)</f>
        <v>0.65200000000000002</v>
      </c>
      <c r="R168" s="114">
        <f>VLOOKUP($D168,'2022Data to Complete Appendix C'!$C$8:$Q$313,14,FALSE)</f>
        <v>2.2999999999999998</v>
      </c>
      <c r="S168" s="115">
        <f>VLOOKUP($D168,'2022Data to Complete Appendix C'!$C$8:$Q$313,15,FALSE)</f>
        <v>0.324299</v>
      </c>
      <c r="T168" s="12">
        <f>IFERROR(VLOOKUP($D168,'2022LodgingbyWUP'!$A$1:$D$98,4,FALSE),0)</f>
        <v>102</v>
      </c>
      <c r="U168" s="12">
        <f t="shared" si="3"/>
        <v>152.95920000000001</v>
      </c>
      <c r="V168" s="12">
        <f>IFERROR(VLOOKUP($D168,Total_DU!$B$5:$Z$174,22,0),0)</f>
        <v>3521</v>
      </c>
      <c r="W168" s="12">
        <f>IFERROR(VLOOKUP($D168,Total_DU!$B$5:$Z$174,23,0),0)</f>
        <v>3951</v>
      </c>
      <c r="X168" s="12">
        <f>IFERROR(VLOOKUP($D168,Total_DU!$B$5:$Z$174,24,0),0)</f>
        <v>4204</v>
      </c>
      <c r="Y168" s="12">
        <f>IFERROR(VLOOKUP($D168,Total_DU!$B$5:$Z$174,25,0),0)</f>
        <v>4940</v>
      </c>
      <c r="Z168" s="12">
        <f>IFERROR(VLOOKUP($D168,Population!$B$5:$Y$174,21,FALSE),0)</f>
        <v>9193</v>
      </c>
      <c r="AA168" s="12">
        <f>IFERROR(VLOOKUP($D168,Population!$B$5:$Y$174,22,FALSE),0)</f>
        <v>10276</v>
      </c>
      <c r="AB168" s="12">
        <f>IFERROR(VLOOKUP($D168,Population!$B$5:$Y$174,23,FALSE),0)</f>
        <v>11393</v>
      </c>
      <c r="AC168" s="12">
        <f>IFERROR(VLOOKUP($D168,Population!$B$5:$Y$174,24,FALSE),0)</f>
        <v>13239</v>
      </c>
    </row>
    <row r="169" spans="1:29" ht="15" x14ac:dyDescent="0.25">
      <c r="A169" s="2" t="s">
        <v>22</v>
      </c>
      <c r="B169" s="2" t="str">
        <f>_xlfn.CONCAT(A169,"_",C169,"_WUP#_",D169)</f>
        <v>POLK_RAINBOW RESORT_WUP#_5868</v>
      </c>
      <c r="C169" t="s">
        <v>880</v>
      </c>
      <c r="D169" s="2">
        <v>5868</v>
      </c>
      <c r="E169" s="11">
        <v>2022</v>
      </c>
      <c r="F169" s="12">
        <f>VLOOKUP($D169,'2022Data to Complete Appendix C'!$C$8:$Q$313,2,FALSE)</f>
        <v>253</v>
      </c>
      <c r="G169" s="12">
        <f>VLOOKUP($D169,'2022Data to Complete Appendix C'!$C$8:$Q$313,3,FALSE)</f>
        <v>121</v>
      </c>
      <c r="H169" s="12">
        <f>VLOOKUP($D169,'2022Data to Complete Appendix C'!$C$8:$Q$313,4,FALSE)</f>
        <v>0</v>
      </c>
      <c r="I169" s="12">
        <f>VLOOKUP($D169,'2022Data to Complete Appendix C'!$C$8:$Q$313,5,FALSE)</f>
        <v>298</v>
      </c>
      <c r="J169" s="114">
        <f>VLOOKUP($D169,'2022Data to Complete Appendix C'!$C$8:$Q$313,6,FALSE)</f>
        <v>2.09091</v>
      </c>
      <c r="K169" s="114">
        <f>VLOOKUP($D169,'2022Data to Complete Appendix C'!$C$8:$Q$313,7,FALSE)</f>
        <v>1.95</v>
      </c>
      <c r="L169" s="114">
        <f>VLOOKUP($D169,'2022Data to Complete Appendix C'!$C$8:$Q$313,8,FALSE)</f>
        <v>1.2116199999999999</v>
      </c>
      <c r="M169" s="12">
        <f>VLOOKUP($D169,'2022Data to Complete Appendix C'!$C$8:$Q$313,9,FALSE)</f>
        <v>27.456600000000002</v>
      </c>
      <c r="N169" s="114">
        <f>VLOOKUP($D169,'2022Data to Complete Appendix C'!$C$8:$Q$313,10,FALSE)</f>
        <v>0.184947</v>
      </c>
      <c r="O169" s="115">
        <f>VLOOKUP($D169,'2022Data to Complete Appendix C'!$C$8:$Q$313,11,FALSE)</f>
        <v>0.56699999999999995</v>
      </c>
      <c r="P169" s="115">
        <f>VLOOKUP($D169,'2022Data to Complete Appendix C'!$C$8:$Q$313,12,FALSE)</f>
        <v>0.772675</v>
      </c>
      <c r="Q169" s="115">
        <f>VLOOKUP($D169,'2022Data to Complete Appendix C'!$C$8:$Q$313,13,FALSE)</f>
        <v>0.65200000000000002</v>
      </c>
      <c r="R169" s="114">
        <f>VLOOKUP($D169,'2022Data to Complete Appendix C'!$C$8:$Q$313,14,FALSE)</f>
        <v>2.2999999999999998</v>
      </c>
      <c r="S169" s="115">
        <f>VLOOKUP($D169,'2022Data to Complete Appendix C'!$C$8:$Q$313,15,FALSE)</f>
        <v>-0.25873200000000002</v>
      </c>
      <c r="T169" s="12">
        <f>IFERROR(VLOOKUP($D169,'2022LodgingbyWUP'!$A$1:$D$98,4,FALSE),0)</f>
        <v>0</v>
      </c>
      <c r="U169" s="12">
        <f t="shared" ref="U169" si="4">IF(T169&gt;0,T169*Q169*R169,0)</f>
        <v>0</v>
      </c>
      <c r="V169" s="12" t="str">
        <f>IFERROR(VLOOKUP($D169,Total_DU!$B$5:$Z$174,22,0),0)</f>
        <v>NA</v>
      </c>
      <c r="W169" s="12">
        <f>IFERROR(VLOOKUP($D169,Total_DU!$B$5:$Z$174,23,0),0)</f>
        <v>499</v>
      </c>
      <c r="X169" s="12">
        <f>IFERROR(VLOOKUP($D169,Total_DU!$B$5:$Z$174,24,0),0)</f>
        <v>499</v>
      </c>
      <c r="Y169" s="12">
        <f>IFERROR(VLOOKUP($D169,Total_DU!$B$5:$Z$174,25,0),0)</f>
        <v>499</v>
      </c>
      <c r="Z169" s="12">
        <f>IFERROR(VLOOKUP($D169,Population!$B$5:$Y$174,21,FALSE),0)</f>
        <v>1042</v>
      </c>
      <c r="AA169" s="12">
        <f>IFERROR(VLOOKUP($D169,Population!$B$5:$Y$174,22,FALSE),0)</f>
        <v>989</v>
      </c>
      <c r="AB169" s="12">
        <f>IFERROR(VLOOKUP($D169,Population!$B$5:$Y$174,23,FALSE),0)</f>
        <v>989.45025879842365</v>
      </c>
      <c r="AC169" s="12">
        <f>IFERROR(VLOOKUP($D169,Population!$B$5:$Y$174,24,FALSE),0)</f>
        <v>989</v>
      </c>
    </row>
    <row r="170" spans="1:29" ht="15" x14ac:dyDescent="0.25">
      <c r="A170" s="11" t="s">
        <v>22</v>
      </c>
      <c r="B170" s="11" t="s">
        <v>646</v>
      </c>
      <c r="C170" s="11" t="s">
        <v>71</v>
      </c>
      <c r="D170" s="11">
        <v>5870</v>
      </c>
      <c r="E170" s="11">
        <v>2022</v>
      </c>
      <c r="F170" s="12">
        <f>VLOOKUP($D170,'2022Data to Complete Appendix C'!$C$8:$Q$313,2,FALSE)</f>
        <v>6420</v>
      </c>
      <c r="G170" s="12">
        <f>VLOOKUP($D170,'2022Data to Complete Appendix C'!$C$8:$Q$313,3,FALSE)</f>
        <v>2614</v>
      </c>
      <c r="H170" s="12">
        <f>VLOOKUP($D170,'2022Data to Complete Appendix C'!$C$8:$Q$313,4,FALSE)</f>
        <v>466</v>
      </c>
      <c r="I170" s="12">
        <f>VLOOKUP($D170,'2022Data to Complete Appendix C'!$C$8:$Q$313,5,FALSE)</f>
        <v>3480</v>
      </c>
      <c r="J170" s="114">
        <f>VLOOKUP($D170,'2022Data to Complete Appendix C'!$C$8:$Q$313,6,FALSE)</f>
        <v>2.45601</v>
      </c>
      <c r="K170" s="114">
        <f>VLOOKUP($D170,'2022Data to Complete Appendix C'!$C$8:$Q$313,7,FALSE)</f>
        <v>1.95</v>
      </c>
      <c r="L170" s="114">
        <f>VLOOKUP($D170,'2022Data to Complete Appendix C'!$C$8:$Q$313,8,FALSE)</f>
        <v>1.2116199999999999</v>
      </c>
      <c r="M170" s="12">
        <f>VLOOKUP($D170,'2022Data to Complete Appendix C'!$C$8:$Q$313,9,FALSE)</f>
        <v>696.72500000000002</v>
      </c>
      <c r="N170" s="114">
        <f>VLOOKUP($D170,'2022Data to Complete Appendix C'!$C$8:$Q$313,10,FALSE)</f>
        <v>0.21044499999999999</v>
      </c>
      <c r="O170" s="115">
        <f>VLOOKUP($D170,'2022Data to Complete Appendix C'!$C$8:$Q$313,11,FALSE)</f>
        <v>0.56699999999999995</v>
      </c>
      <c r="P170" s="115">
        <f>VLOOKUP($D170,'2022Data to Complete Appendix C'!$C$8:$Q$313,12,FALSE)</f>
        <v>0.772675</v>
      </c>
      <c r="Q170" s="115">
        <f>VLOOKUP($D170,'2022Data to Complete Appendix C'!$C$8:$Q$313,13,FALSE)</f>
        <v>0.65200000000000002</v>
      </c>
      <c r="R170" s="114">
        <f>VLOOKUP($D170,'2022Data to Complete Appendix C'!$C$8:$Q$313,14,FALSE)</f>
        <v>2.2999999999999998</v>
      </c>
      <c r="S170" s="115">
        <f>VLOOKUP($D170,'2022Data to Complete Appendix C'!$C$8:$Q$313,15,FALSE)</f>
        <v>-0.124001</v>
      </c>
      <c r="T170" s="12">
        <f>IFERROR(VLOOKUP($D170,'2022LodgingbyWUP'!$A$1:$D$98,4,FALSE),0)</f>
        <v>9</v>
      </c>
      <c r="U170" s="12">
        <f t="shared" si="3"/>
        <v>13.4964</v>
      </c>
      <c r="V170" s="12">
        <f>IFERROR(VLOOKUP($D170,Total_DU!$B$5:$Z$174,22,0),0)</f>
        <v>1426</v>
      </c>
      <c r="W170" s="12">
        <f>IFERROR(VLOOKUP($D170,Total_DU!$B$5:$Z$174,23,0),0)</f>
        <v>1602</v>
      </c>
      <c r="X170" s="12">
        <f>IFERROR(VLOOKUP($D170,Total_DU!$B$5:$Z$174,24,0),0)</f>
        <v>1634</v>
      </c>
      <c r="Y170" s="12">
        <f>IFERROR(VLOOKUP($D170,Total_DU!$B$5:$Z$174,25,0),0)</f>
        <v>1650</v>
      </c>
      <c r="Z170" s="12">
        <f>IFERROR(VLOOKUP($D170,Population!$B$5:$Y$174,21,FALSE),0)</f>
        <v>3219.7723489803602</v>
      </c>
      <c r="AA170" s="12">
        <f>IFERROR(VLOOKUP($D170,Population!$B$5:$Y$174,22,FALSE),0)</f>
        <v>3615.7919974724769</v>
      </c>
      <c r="AB170" s="12">
        <f>IFERROR(VLOOKUP($D170,Population!$B$5:$Y$174,23,FALSE),0)</f>
        <v>3687.8827425064724</v>
      </c>
      <c r="AC170" s="12">
        <f>IFERROR(VLOOKUP($D170,Population!$B$5:$Y$174,24,FALSE),0)</f>
        <v>3954</v>
      </c>
    </row>
    <row r="171" spans="1:29" ht="15" x14ac:dyDescent="0.25">
      <c r="A171" s="2" t="s">
        <v>22</v>
      </c>
      <c r="B171" s="2" t="s">
        <v>647</v>
      </c>
      <c r="C171" s="2" t="s">
        <v>166</v>
      </c>
      <c r="D171" s="2">
        <v>5893</v>
      </c>
      <c r="E171" s="11">
        <v>2022</v>
      </c>
      <c r="F171" s="12">
        <f>VLOOKUP($D171,'2022Data to Complete Appendix C'!$C$8:$Q$313,2,FALSE)</f>
        <v>6021</v>
      </c>
      <c r="G171" s="12">
        <f>VLOOKUP($D171,'2022Data to Complete Appendix C'!$C$8:$Q$313,3,FALSE)</f>
        <v>2225</v>
      </c>
      <c r="H171" s="12">
        <f>VLOOKUP($D171,'2022Data to Complete Appendix C'!$C$8:$Q$313,4,FALSE)</f>
        <v>0</v>
      </c>
      <c r="I171" s="12">
        <f>VLOOKUP($D171,'2022Data to Complete Appendix C'!$C$8:$Q$313,5,FALSE)</f>
        <v>2756</v>
      </c>
      <c r="J171" s="114">
        <f>VLOOKUP($D171,'2022Data to Complete Appendix C'!$C$8:$Q$313,6,FALSE)</f>
        <v>2.70607</v>
      </c>
      <c r="K171" s="114">
        <f>VLOOKUP($D171,'2022Data to Complete Appendix C'!$C$8:$Q$313,7,FALSE)</f>
        <v>1.95</v>
      </c>
      <c r="L171" s="114">
        <f>VLOOKUP($D171,'2022Data to Complete Appendix C'!$C$8:$Q$313,8,FALSE)</f>
        <v>1.1222700000000001</v>
      </c>
      <c r="M171" s="12">
        <f>VLOOKUP($D171,'2022Data to Complete Appendix C'!$C$8:$Q$313,9,FALSE)</f>
        <v>377.53199999999998</v>
      </c>
      <c r="N171" s="114">
        <f>VLOOKUP($D171,'2022Data to Complete Appendix C'!$C$8:$Q$313,10,FALSE)</f>
        <v>0.145063</v>
      </c>
      <c r="O171" s="115">
        <f>VLOOKUP($D171,'2022Data to Complete Appendix C'!$C$8:$Q$313,11,FALSE)</f>
        <v>0.56699999999999995</v>
      </c>
      <c r="P171" s="115">
        <f>VLOOKUP($D171,'2022Data to Complete Appendix C'!$C$8:$Q$313,12,FALSE)</f>
        <v>0.772675</v>
      </c>
      <c r="Q171" s="115">
        <f>VLOOKUP($D171,'2022Data to Complete Appendix C'!$C$8:$Q$313,13,FALSE)</f>
        <v>0.65200000000000002</v>
      </c>
      <c r="R171" s="114">
        <f>VLOOKUP($D171,'2022Data to Complete Appendix C'!$C$8:$Q$313,14,FALSE)</f>
        <v>2.2999999999999998</v>
      </c>
      <c r="S171" s="115">
        <f>VLOOKUP($D171,'2022Data to Complete Appendix C'!$C$8:$Q$313,15,FALSE)</f>
        <v>-0.260216</v>
      </c>
      <c r="T171" s="12">
        <f>IFERROR(VLOOKUP($D171,'2022LodgingbyWUP'!$A$1:$D$98,4,FALSE),0)</f>
        <v>355</v>
      </c>
      <c r="U171" s="12">
        <f t="shared" si="3"/>
        <v>532.35799999999995</v>
      </c>
      <c r="V171" s="12">
        <f>IFERROR(VLOOKUP($D171,Total_DU!$B$5:$Z$174,22,0),0)</f>
        <v>2196</v>
      </c>
      <c r="W171" s="12">
        <f>IFERROR(VLOOKUP($D171,Total_DU!$B$5:$Z$174,23,0),0)</f>
        <v>2196</v>
      </c>
      <c r="X171" s="12">
        <f>IFERROR(VLOOKUP($D171,Total_DU!$B$5:$Z$174,24,0),0)</f>
        <v>2299</v>
      </c>
      <c r="Y171" s="12">
        <f>IFERROR(VLOOKUP($D171,Total_DU!$B$5:$Z$174,25,0),0)</f>
        <v>2804</v>
      </c>
      <c r="Z171" s="12">
        <f>IFERROR(VLOOKUP($D171,Population!$B$5:$Y$174,21,FALSE),0)</f>
        <v>6028.7424404323956</v>
      </c>
      <c r="AA171" s="12">
        <f>IFERROR(VLOOKUP($D171,Population!$B$5:$Y$174,22,FALSE),0)</f>
        <v>6029</v>
      </c>
      <c r="AB171" s="12">
        <f>IFERROR(VLOOKUP($D171,Population!$B$5:$Y$174,23,FALSE),0)</f>
        <v>6313.4441185997066</v>
      </c>
      <c r="AC171" s="12">
        <f>IFERROR(VLOOKUP($D171,Population!$B$5:$Y$174,24,FALSE),0)</f>
        <v>7483</v>
      </c>
    </row>
    <row r="172" spans="1:29" ht="15" x14ac:dyDescent="0.25">
      <c r="A172" s="11" t="s">
        <v>22</v>
      </c>
      <c r="B172" s="11" t="s">
        <v>648</v>
      </c>
      <c r="C172" s="11" t="s">
        <v>76</v>
      </c>
      <c r="D172" s="11">
        <v>6124</v>
      </c>
      <c r="E172" s="11">
        <v>2022</v>
      </c>
      <c r="F172" s="12">
        <f>VLOOKUP($D172,'2022Data to Complete Appendix C'!$C$8:$Q$313,2,FALSE)</f>
        <v>8488</v>
      </c>
      <c r="G172" s="12">
        <f>VLOOKUP($D172,'2022Data to Complete Appendix C'!$C$8:$Q$313,3,FALSE)</f>
        <v>3360</v>
      </c>
      <c r="H172" s="12">
        <f>VLOOKUP($D172,'2022Data to Complete Appendix C'!$C$8:$Q$313,4,FALSE)</f>
        <v>0</v>
      </c>
      <c r="I172" s="12">
        <f>VLOOKUP($D172,'2022Data to Complete Appendix C'!$C$8:$Q$313,5,FALSE)</f>
        <v>3952</v>
      </c>
      <c r="J172" s="114">
        <f>VLOOKUP($D172,'2022Data to Complete Appendix C'!$C$8:$Q$313,6,FALSE)</f>
        <v>2.5261900000000002</v>
      </c>
      <c r="K172" s="114">
        <f>VLOOKUP($D172,'2022Data to Complete Appendix C'!$C$8:$Q$313,7,FALSE)</f>
        <v>1.95</v>
      </c>
      <c r="L172" s="114">
        <f>VLOOKUP($D172,'2022Data to Complete Appendix C'!$C$8:$Q$313,8,FALSE)</f>
        <v>1.0622400000000001</v>
      </c>
      <c r="M172" s="12">
        <f>VLOOKUP($D172,'2022Data to Complete Appendix C'!$C$8:$Q$313,9,FALSE)</f>
        <v>270.92399999999998</v>
      </c>
      <c r="N172" s="114">
        <f>VLOOKUP($D172,'2022Data to Complete Appendix C'!$C$8:$Q$313,10,FALSE)</f>
        <v>7.4615699999999993E-2</v>
      </c>
      <c r="O172" s="115">
        <f>VLOOKUP($D172,'2022Data to Complete Appendix C'!$C$8:$Q$313,11,FALSE)</f>
        <v>0.56699999999999995</v>
      </c>
      <c r="P172" s="115">
        <f>VLOOKUP($D172,'2022Data to Complete Appendix C'!$C$8:$Q$313,12,FALSE)</f>
        <v>0.772675</v>
      </c>
      <c r="Q172" s="115">
        <f>VLOOKUP($D172,'2022Data to Complete Appendix C'!$C$8:$Q$313,13,FALSE)</f>
        <v>0.65200000000000002</v>
      </c>
      <c r="R172" s="114">
        <f>VLOOKUP($D172,'2022Data to Complete Appendix C'!$C$8:$Q$313,14,FALSE)</f>
        <v>2.2999999999999998</v>
      </c>
      <c r="S172" s="115">
        <f>VLOOKUP($D172,'2022Data to Complete Appendix C'!$C$8:$Q$313,15,FALSE)</f>
        <v>0.35047499999999998</v>
      </c>
      <c r="T172" s="12">
        <f>IFERROR(VLOOKUP($D172,'2022LodgingbyWUP'!$A$1:$D$98,4,FALSE),0)</f>
        <v>63</v>
      </c>
      <c r="U172" s="12">
        <f t="shared" si="3"/>
        <v>94.474799999999988</v>
      </c>
      <c r="V172" s="12">
        <f>IFERROR(VLOOKUP($D172,Total_DU!$B$5:$Z$174,22,0),0)</f>
        <v>1791</v>
      </c>
      <c r="W172" s="12">
        <f>IFERROR(VLOOKUP($D172,Total_DU!$B$5:$Z$174,23,0),0)</f>
        <v>1846</v>
      </c>
      <c r="X172" s="12">
        <f>IFERROR(VLOOKUP($D172,Total_DU!$B$5:$Z$174,24,0),0)</f>
        <v>1859</v>
      </c>
      <c r="Y172" s="12">
        <f>IFERROR(VLOOKUP($D172,Total_DU!$B$5:$Z$174,25,0),0)</f>
        <v>1888</v>
      </c>
      <c r="Z172" s="12">
        <f>IFERROR(VLOOKUP($D172,Population!$B$5:$Y$174,21,FALSE),0)</f>
        <v>4630.6854832348836</v>
      </c>
      <c r="AA172" s="12">
        <f>IFERROR(VLOOKUP($D172,Population!$B$5:$Y$174,22,FALSE),0)</f>
        <v>4769.1740471891808</v>
      </c>
      <c r="AB172" s="12">
        <f>IFERROR(VLOOKUP($D172,Population!$B$5:$Y$174,23,FALSE),0)</f>
        <v>4802.7394200884555</v>
      </c>
      <c r="AC172" s="12">
        <f>IFERROR(VLOOKUP($D172,Population!$B$5:$Y$174,24,FALSE),0)</f>
        <v>4855</v>
      </c>
    </row>
    <row r="173" spans="1:29" ht="15" x14ac:dyDescent="0.25">
      <c r="A173" s="2" t="s">
        <v>22</v>
      </c>
      <c r="B173" s="2" t="s">
        <v>649</v>
      </c>
      <c r="C173" s="2" t="s">
        <v>148</v>
      </c>
      <c r="D173" s="2">
        <v>6174</v>
      </c>
      <c r="E173" s="11">
        <v>2022</v>
      </c>
      <c r="F173" s="12">
        <f>VLOOKUP($D173,'2022Data to Complete Appendix C'!$C$8:$Q$313,2,FALSE)</f>
        <v>454</v>
      </c>
      <c r="G173" s="12">
        <f>VLOOKUP($D173,'2022Data to Complete Appendix C'!$C$8:$Q$313,3,FALSE)</f>
        <v>265</v>
      </c>
      <c r="H173" s="12">
        <f>VLOOKUP($D173,'2022Data to Complete Appendix C'!$C$8:$Q$313,4,FALSE)</f>
        <v>0</v>
      </c>
      <c r="I173" s="12">
        <f>VLOOKUP($D173,'2022Data to Complete Appendix C'!$C$8:$Q$313,5,FALSE)</f>
        <v>792</v>
      </c>
      <c r="J173" s="114">
        <f>VLOOKUP($D173,'2022Data to Complete Appendix C'!$C$8:$Q$313,6,FALSE)</f>
        <v>1.7132099999999999</v>
      </c>
      <c r="K173" s="114">
        <f>VLOOKUP($D173,'2022Data to Complete Appendix C'!$C$8:$Q$313,7,FALSE)</f>
        <v>1.95</v>
      </c>
      <c r="L173" s="114">
        <f>VLOOKUP($D173,'2022Data to Complete Appendix C'!$C$8:$Q$313,8,FALSE)</f>
        <v>1.25708</v>
      </c>
      <c r="M173" s="12">
        <f>VLOOKUP($D173,'2022Data to Complete Appendix C'!$C$8:$Q$313,9,FALSE)</f>
        <v>59.853000000000002</v>
      </c>
      <c r="N173" s="114">
        <f>VLOOKUP($D173,'2022Data to Complete Appendix C'!$C$8:$Q$313,10,FALSE)</f>
        <v>0.18424599999999999</v>
      </c>
      <c r="O173" s="115">
        <f>VLOOKUP($D173,'2022Data to Complete Appendix C'!$C$8:$Q$313,11,FALSE)</f>
        <v>0.56699999999999995</v>
      </c>
      <c r="P173" s="115">
        <f>VLOOKUP($D173,'2022Data to Complete Appendix C'!$C$8:$Q$313,12,FALSE)</f>
        <v>0.772675</v>
      </c>
      <c r="Q173" s="115">
        <f>VLOOKUP($D173,'2022Data to Complete Appendix C'!$C$8:$Q$313,13,FALSE)</f>
        <v>0.65200000000000002</v>
      </c>
      <c r="R173" s="114">
        <f>VLOOKUP($D173,'2022Data to Complete Appendix C'!$C$8:$Q$313,14,FALSE)</f>
        <v>2.2999999999999998</v>
      </c>
      <c r="S173" s="115">
        <f>VLOOKUP($D173,'2022Data to Complete Appendix C'!$C$8:$Q$313,15,FALSE)</f>
        <v>-8.7440400000000001E-2</v>
      </c>
      <c r="T173" s="12">
        <f>IFERROR(VLOOKUP($D173,'2022LodgingbyWUP'!$A$1:$D$98,4,FALSE),0)</f>
        <v>0</v>
      </c>
      <c r="U173" s="12">
        <f t="shared" si="3"/>
        <v>0</v>
      </c>
      <c r="V173" s="12">
        <f>IFERROR(VLOOKUP($D173,Total_DU!$B$5:$Z$174,22,0),0)</f>
        <v>795</v>
      </c>
      <c r="W173" s="12">
        <f>IFERROR(VLOOKUP($D173,Total_DU!$B$5:$Z$174,23,0),0)</f>
        <v>795</v>
      </c>
      <c r="X173" s="12">
        <f>IFERROR(VLOOKUP($D173,Total_DU!$B$5:$Z$174,24,0),0)</f>
        <v>795</v>
      </c>
      <c r="Y173" s="12">
        <f>IFERROR(VLOOKUP($D173,Total_DU!$B$5:$Z$174,25,0),0)</f>
        <v>795</v>
      </c>
      <c r="Z173" s="12">
        <f>IFERROR(VLOOKUP($D173,Population!$B$5:$Y$174,21,FALSE),0)</f>
        <v>1331.75533194225</v>
      </c>
      <c r="AA173" s="12">
        <f>IFERROR(VLOOKUP($D173,Population!$B$5:$Y$174,22,FALSE),0)</f>
        <v>1331.75533194225</v>
      </c>
      <c r="AB173" s="12">
        <f>IFERROR(VLOOKUP($D173,Population!$B$5:$Y$174,23,FALSE),0)</f>
        <v>1331.755322295262</v>
      </c>
      <c r="AC173" s="12">
        <f>IFERROR(VLOOKUP($D173,Population!$B$5:$Y$174,24,FALSE),0)</f>
        <v>1332</v>
      </c>
    </row>
    <row r="174" spans="1:29" ht="15" x14ac:dyDescent="0.25">
      <c r="A174" s="11" t="s">
        <v>22</v>
      </c>
      <c r="B174" s="11" t="s">
        <v>650</v>
      </c>
      <c r="C174" s="11" t="s">
        <v>487</v>
      </c>
      <c r="D174" s="11">
        <v>6208</v>
      </c>
      <c r="E174" s="11">
        <v>2022</v>
      </c>
      <c r="F174" s="12">
        <f>VLOOKUP($D174,'2022Data to Complete Appendix C'!$C$8:$Q$313,2,FALSE)</f>
        <v>386</v>
      </c>
      <c r="G174" s="12">
        <f>VLOOKUP($D174,'2022Data to Complete Appendix C'!$C$8:$Q$313,3,FALSE)</f>
        <v>195</v>
      </c>
      <c r="H174" s="12">
        <f>VLOOKUP($D174,'2022Data to Complete Appendix C'!$C$8:$Q$313,4,FALSE)</f>
        <v>0</v>
      </c>
      <c r="I174" s="12">
        <f>VLOOKUP($D174,'2022Data to Complete Appendix C'!$C$8:$Q$313,5,FALSE)</f>
        <v>319</v>
      </c>
      <c r="J174" s="114">
        <f>VLOOKUP($D174,'2022Data to Complete Appendix C'!$C$8:$Q$313,6,FALSE)</f>
        <v>1.97949</v>
      </c>
      <c r="K174" s="114">
        <f>VLOOKUP($D174,'2022Data to Complete Appendix C'!$C$8:$Q$313,7,FALSE)</f>
        <v>1.95</v>
      </c>
      <c r="L174" s="114">
        <f>VLOOKUP($D174,'2022Data to Complete Appendix C'!$C$8:$Q$313,8,FALSE)</f>
        <v>1.2116199999999999</v>
      </c>
      <c r="M174" s="12">
        <f>VLOOKUP($D174,'2022Data to Complete Appendix C'!$C$8:$Q$313,9,FALSE)</f>
        <v>41.890300000000003</v>
      </c>
      <c r="N174" s="114">
        <f>VLOOKUP($D174,'2022Data to Complete Appendix C'!$C$8:$Q$313,10,FALSE)</f>
        <v>0.17683399999999999</v>
      </c>
      <c r="O174" s="115">
        <f>VLOOKUP($D174,'2022Data to Complete Appendix C'!$C$8:$Q$313,11,FALSE)</f>
        <v>0.56699999999999995</v>
      </c>
      <c r="P174" s="115">
        <f>VLOOKUP($D174,'2022Data to Complete Appendix C'!$C$8:$Q$313,12,FALSE)</f>
        <v>0.772675</v>
      </c>
      <c r="Q174" s="115">
        <f>VLOOKUP($D174,'2022Data to Complete Appendix C'!$C$8:$Q$313,13,FALSE)</f>
        <v>0.65200000000000002</v>
      </c>
      <c r="R174" s="114">
        <f>VLOOKUP($D174,'2022Data to Complete Appendix C'!$C$8:$Q$313,14,FALSE)</f>
        <v>2.2999999999999998</v>
      </c>
      <c r="S174" s="115">
        <f>VLOOKUP($D174,'2022Data to Complete Appendix C'!$C$8:$Q$313,15,FALSE)</f>
        <v>-0.12878300000000001</v>
      </c>
      <c r="T174" s="12">
        <f>IFERROR(VLOOKUP($D174,'2022LodgingbyWUP'!$A$1:$D$98,4,FALSE),0)</f>
        <v>0</v>
      </c>
      <c r="U174" s="12">
        <f t="shared" si="3"/>
        <v>0</v>
      </c>
      <c r="V174" s="12">
        <f>IFERROR(VLOOKUP($D174,Total_DU!$B$5:$Z$174,22,0),0)</f>
        <v>0</v>
      </c>
      <c r="W174" s="12">
        <f>IFERROR(VLOOKUP($D174,Total_DU!$B$5:$Z$174,23,0),0)</f>
        <v>0</v>
      </c>
      <c r="X174" s="12">
        <f>IFERROR(VLOOKUP($D174,Total_DU!$B$5:$Z$174,24,0),0)</f>
        <v>0</v>
      </c>
      <c r="Y174" s="12">
        <f>IFERROR(VLOOKUP($D174,Total_DU!$B$5:$Z$174,25,0),0)</f>
        <v>0</v>
      </c>
      <c r="Z174" s="12">
        <f>IFERROR(VLOOKUP($D174,Population!$B$5:$Y$174,21,FALSE),0)</f>
        <v>0</v>
      </c>
      <c r="AA174" s="12">
        <f>IFERROR(VLOOKUP($D174,Population!$B$5:$Y$174,22,FALSE),0)</f>
        <v>0</v>
      </c>
      <c r="AB174" s="12">
        <f>IFERROR(VLOOKUP($D174,Population!$B$5:$Y$174,23,FALSE),0)</f>
        <v>0</v>
      </c>
      <c r="AC174" s="12">
        <f>IFERROR(VLOOKUP($D174,Population!$B$5:$Y$174,24,FALSE),0)</f>
        <v>0</v>
      </c>
    </row>
    <row r="175" spans="1:29" ht="15" x14ac:dyDescent="0.25">
      <c r="A175" s="2" t="s">
        <v>22</v>
      </c>
      <c r="B175" s="2" t="s">
        <v>651</v>
      </c>
      <c r="C175" s="2" t="s">
        <v>142</v>
      </c>
      <c r="D175" s="2">
        <v>6505</v>
      </c>
      <c r="E175" s="11">
        <v>2022</v>
      </c>
      <c r="F175" s="12">
        <f>VLOOKUP($D175,'2022Data to Complete Appendix C'!$C$8:$Q$313,2,FALSE)</f>
        <v>50492</v>
      </c>
      <c r="G175" s="12">
        <f>VLOOKUP($D175,'2022Data to Complete Appendix C'!$C$8:$Q$313,3,FALSE)</f>
        <v>18559</v>
      </c>
      <c r="H175" s="12">
        <f>VLOOKUP($D175,'2022Data to Complete Appendix C'!$C$8:$Q$313,4,FALSE)</f>
        <v>10</v>
      </c>
      <c r="I175" s="12">
        <f>VLOOKUP($D175,'2022Data to Complete Appendix C'!$C$8:$Q$313,5,FALSE)</f>
        <v>20743</v>
      </c>
      <c r="J175" s="114">
        <f>VLOOKUP($D175,'2022Data to Complete Appendix C'!$C$8:$Q$313,6,FALSE)</f>
        <v>2.7206199999999998</v>
      </c>
      <c r="K175" s="114">
        <f>VLOOKUP($D175,'2022Data to Complete Appendix C'!$C$8:$Q$313,7,FALSE)</f>
        <v>1.95</v>
      </c>
      <c r="L175" s="114">
        <f>VLOOKUP($D175,'2022Data to Complete Appendix C'!$C$8:$Q$313,8,FALSE)</f>
        <v>1.05966</v>
      </c>
      <c r="M175" s="12">
        <f>VLOOKUP($D175,'2022Data to Complete Appendix C'!$C$8:$Q$313,9,FALSE)</f>
        <v>1544.8</v>
      </c>
      <c r="N175" s="114">
        <f>VLOOKUP($D175,'2022Data to Complete Appendix C'!$C$8:$Q$313,10,FALSE)</f>
        <v>7.6841000000000007E-2</v>
      </c>
      <c r="O175" s="115">
        <f>VLOOKUP($D175,'2022Data to Complete Appendix C'!$C$8:$Q$313,11,FALSE)</f>
        <v>0.56699999999999995</v>
      </c>
      <c r="P175" s="115">
        <f>VLOOKUP($D175,'2022Data to Complete Appendix C'!$C$8:$Q$313,12,FALSE)</f>
        <v>0.772675</v>
      </c>
      <c r="Q175" s="115">
        <f>VLOOKUP($D175,'2022Data to Complete Appendix C'!$C$8:$Q$313,13,FALSE)</f>
        <v>0.65200000000000002</v>
      </c>
      <c r="R175" s="114">
        <f>VLOOKUP($D175,'2022Data to Complete Appendix C'!$C$8:$Q$313,14,FALSE)</f>
        <v>2.2999999999999998</v>
      </c>
      <c r="S175" s="115">
        <f>VLOOKUP($D175,'2022Data to Complete Appendix C'!$C$8:$Q$313,15,FALSE)</f>
        <v>-0.767459</v>
      </c>
      <c r="T175" s="12">
        <f>IFERROR(VLOOKUP($D175,'2022LodgingbyWUP'!$A$1:$D$98,4,FALSE),0)</f>
        <v>3</v>
      </c>
      <c r="U175" s="12">
        <f t="shared" si="3"/>
        <v>4.4987999999999992</v>
      </c>
      <c r="V175" s="12">
        <f>IFERROR(VLOOKUP($D175,Total_DU!$B$5:$Z$174,22,0),0)</f>
        <v>12286</v>
      </c>
      <c r="W175" s="12">
        <f>IFERROR(VLOOKUP($D175,Total_DU!$B$5:$Z$174,23,0),0)</f>
        <v>12447</v>
      </c>
      <c r="X175" s="12">
        <f>IFERROR(VLOOKUP($D175,Total_DU!$B$5:$Z$174,24,0),0)</f>
        <v>12686</v>
      </c>
      <c r="Y175" s="12">
        <f>IFERROR(VLOOKUP($D175,Total_DU!$B$5:$Z$174,25,0),0)</f>
        <v>13015</v>
      </c>
      <c r="Z175" s="12">
        <f>IFERROR(VLOOKUP($D175,Population!$B$5:$Y$174,21,FALSE),0)</f>
        <v>32286.929172094697</v>
      </c>
      <c r="AA175" s="12">
        <f>IFERROR(VLOOKUP($D175,Population!$B$5:$Y$174,22,FALSE),0)</f>
        <v>32709.991124413889</v>
      </c>
      <c r="AB175" s="12">
        <f>IFERROR(VLOOKUP($D175,Population!$B$5:$Y$174,23,FALSE),0)</f>
        <v>33339.524883004829</v>
      </c>
      <c r="AC175" s="12">
        <f>IFERROR(VLOOKUP($D175,Population!$B$5:$Y$174,24,FALSE),0)</f>
        <v>34205</v>
      </c>
    </row>
    <row r="176" spans="1:29" ht="15" x14ac:dyDescent="0.25">
      <c r="A176" s="11" t="s">
        <v>22</v>
      </c>
      <c r="B176" s="11" t="s">
        <v>652</v>
      </c>
      <c r="C176" s="11" t="s">
        <v>142</v>
      </c>
      <c r="D176" s="11">
        <v>6506</v>
      </c>
      <c r="E176" s="11">
        <v>2022</v>
      </c>
      <c r="F176" s="12">
        <f>VLOOKUP($D176,'2022Data to Complete Appendix C'!$C$8:$Q$313,2,FALSE)</f>
        <v>48309</v>
      </c>
      <c r="G176" s="12">
        <f>VLOOKUP($D176,'2022Data to Complete Appendix C'!$C$8:$Q$313,3,FALSE)</f>
        <v>16885</v>
      </c>
      <c r="H176" s="12">
        <f>VLOOKUP($D176,'2022Data to Complete Appendix C'!$C$8:$Q$313,4,FALSE)</f>
        <v>33</v>
      </c>
      <c r="I176" s="12">
        <f>VLOOKUP($D176,'2022Data to Complete Appendix C'!$C$8:$Q$313,5,FALSE)</f>
        <v>18390</v>
      </c>
      <c r="J176" s="114">
        <f>VLOOKUP($D176,'2022Data to Complete Appendix C'!$C$8:$Q$313,6,FALSE)</f>
        <v>2.8610600000000002</v>
      </c>
      <c r="K176" s="114">
        <f>VLOOKUP($D176,'2022Data to Complete Appendix C'!$C$8:$Q$313,7,FALSE)</f>
        <v>1.95</v>
      </c>
      <c r="L176" s="114">
        <f>VLOOKUP($D176,'2022Data to Complete Appendix C'!$C$8:$Q$313,8,FALSE)</f>
        <v>1.0461100000000001</v>
      </c>
      <c r="M176" s="12">
        <f>VLOOKUP($D176,'2022Data to Complete Appendix C'!$C$8:$Q$313,9,FALSE)</f>
        <v>1142.2</v>
      </c>
      <c r="N176" s="114">
        <f>VLOOKUP($D176,'2022Data to Complete Appendix C'!$C$8:$Q$313,10,FALSE)</f>
        <v>6.3359700000000005E-2</v>
      </c>
      <c r="O176" s="115">
        <f>VLOOKUP($D176,'2022Data to Complete Appendix C'!$C$8:$Q$313,11,FALSE)</f>
        <v>0.56699999999999995</v>
      </c>
      <c r="P176" s="115">
        <f>VLOOKUP($D176,'2022Data to Complete Appendix C'!$C$8:$Q$313,12,FALSE)</f>
        <v>0.772675</v>
      </c>
      <c r="Q176" s="115">
        <f>VLOOKUP($D176,'2022Data to Complete Appendix C'!$C$8:$Q$313,13,FALSE)</f>
        <v>0.65200000000000002</v>
      </c>
      <c r="R176" s="114">
        <f>VLOOKUP($D176,'2022Data to Complete Appendix C'!$C$8:$Q$313,14,FALSE)</f>
        <v>2.2999999999999998</v>
      </c>
      <c r="S176" s="115">
        <f>VLOOKUP($D176,'2022Data to Complete Appendix C'!$C$8:$Q$313,15,FALSE)</f>
        <v>-0.79937800000000003</v>
      </c>
      <c r="T176" s="12">
        <f>IFERROR(VLOOKUP($D176,'2022LodgingbyWUP'!$A$1:$D$98,4,FALSE),0)</f>
        <v>28</v>
      </c>
      <c r="U176" s="12">
        <f t="shared" si="3"/>
        <v>41.988799999999998</v>
      </c>
      <c r="V176" s="12">
        <f>IFERROR(VLOOKUP($D176,Total_DU!$B$5:$Z$174,22,0),0)</f>
        <v>15988</v>
      </c>
      <c r="W176" s="12">
        <f>IFERROR(VLOOKUP($D176,Total_DU!$B$5:$Z$174,23,0),0)</f>
        <v>15809</v>
      </c>
      <c r="X176" s="12">
        <f>IFERROR(VLOOKUP($D176,Total_DU!$B$5:$Z$174,24,0),0)</f>
        <v>16220</v>
      </c>
      <c r="Y176" s="12">
        <f>IFERROR(VLOOKUP($D176,Total_DU!$B$5:$Z$174,25,0),0)</f>
        <v>16500</v>
      </c>
      <c r="Z176" s="12">
        <f>IFERROR(VLOOKUP($D176,Population!$B$5:$Y$174,21,FALSE),0)</f>
        <v>44462.757504128123</v>
      </c>
      <c r="AA176" s="12">
        <f>IFERROR(VLOOKUP($D176,Population!$B$5:$Y$174,22,FALSE),0)</f>
        <v>43965.080941065993</v>
      </c>
      <c r="AB176" s="12">
        <f>IFERROR(VLOOKUP($D176,Population!$B$5:$Y$174,23,FALSE),0)</f>
        <v>45112.765863446984</v>
      </c>
      <c r="AC176" s="12">
        <f>IFERROR(VLOOKUP($D176,Population!$B$5:$Y$174,24,FALSE),0)</f>
        <v>45859</v>
      </c>
    </row>
    <row r="177" spans="1:29" ht="15" x14ac:dyDescent="0.25">
      <c r="A177" s="2" t="s">
        <v>22</v>
      </c>
      <c r="B177" s="2" t="s">
        <v>653</v>
      </c>
      <c r="C177" s="2" t="s">
        <v>142</v>
      </c>
      <c r="D177" s="2">
        <v>6507</v>
      </c>
      <c r="E177" s="11">
        <v>2022</v>
      </c>
      <c r="F177" s="12">
        <f>VLOOKUP($D177,'2022Data to Complete Appendix C'!$C$8:$Q$313,2,FALSE)</f>
        <v>16749</v>
      </c>
      <c r="G177" s="12">
        <f>VLOOKUP($D177,'2022Data to Complete Appendix C'!$C$8:$Q$313,3,FALSE)</f>
        <v>6002</v>
      </c>
      <c r="H177" s="12">
        <f>VLOOKUP($D177,'2022Data to Complete Appendix C'!$C$8:$Q$313,4,FALSE)</f>
        <v>0</v>
      </c>
      <c r="I177" s="12">
        <f>VLOOKUP($D177,'2022Data to Complete Appendix C'!$C$8:$Q$313,5,FALSE)</f>
        <v>6896</v>
      </c>
      <c r="J177" s="114">
        <f>VLOOKUP($D177,'2022Data to Complete Appendix C'!$C$8:$Q$313,6,FALSE)</f>
        <v>2.7905700000000002</v>
      </c>
      <c r="K177" s="114">
        <f>VLOOKUP($D177,'2022Data to Complete Appendix C'!$C$8:$Q$313,7,FALSE)</f>
        <v>1.95</v>
      </c>
      <c r="L177" s="114">
        <f>VLOOKUP($D177,'2022Data to Complete Appendix C'!$C$8:$Q$313,8,FALSE)</f>
        <v>1.02294</v>
      </c>
      <c r="M177" s="12">
        <f>VLOOKUP($D177,'2022Data to Complete Appendix C'!$C$8:$Q$313,9,FALSE)</f>
        <v>197.071</v>
      </c>
      <c r="N177" s="114">
        <f>VLOOKUP($D177,'2022Data to Complete Appendix C'!$C$8:$Q$313,10,FALSE)</f>
        <v>3.1790499999999999E-2</v>
      </c>
      <c r="O177" s="115">
        <f>VLOOKUP($D177,'2022Data to Complete Appendix C'!$C$8:$Q$313,11,FALSE)</f>
        <v>0.56699999999999995</v>
      </c>
      <c r="P177" s="115">
        <f>VLOOKUP($D177,'2022Data to Complete Appendix C'!$C$8:$Q$313,12,FALSE)</f>
        <v>0.772675</v>
      </c>
      <c r="Q177" s="115">
        <f>VLOOKUP($D177,'2022Data to Complete Appendix C'!$C$8:$Q$313,13,FALSE)</f>
        <v>0.65200000000000002</v>
      </c>
      <c r="R177" s="114">
        <f>VLOOKUP($D177,'2022Data to Complete Appendix C'!$C$8:$Q$313,14,FALSE)</f>
        <v>2.2999999999999998</v>
      </c>
      <c r="S177" s="115">
        <f>VLOOKUP($D177,'2022Data to Complete Appendix C'!$C$8:$Q$313,15,FALSE)</f>
        <v>-0.60723199999999999</v>
      </c>
      <c r="T177" s="12">
        <f>IFERROR(VLOOKUP($D177,'2022LodgingbyWUP'!$A$1:$D$98,4,FALSE),0)</f>
        <v>1</v>
      </c>
      <c r="U177" s="12">
        <f t="shared" si="3"/>
        <v>1.4996</v>
      </c>
      <c r="V177" s="12">
        <f>IFERROR(VLOOKUP($D177,Total_DU!$B$5:$Z$174,22,0),0)</f>
        <v>5243</v>
      </c>
      <c r="W177" s="12">
        <f>IFERROR(VLOOKUP($D177,Total_DU!$B$5:$Z$174,23,0),0)</f>
        <v>5331</v>
      </c>
      <c r="X177" s="12">
        <f>IFERROR(VLOOKUP($D177,Total_DU!$B$5:$Z$174,24,0),0)</f>
        <v>5331</v>
      </c>
      <c r="Y177" s="12">
        <f>IFERROR(VLOOKUP($D177,Total_DU!$B$5:$Z$174,25,0),0)</f>
        <v>5494</v>
      </c>
      <c r="Z177" s="12">
        <f>IFERROR(VLOOKUP($D177,Population!$B$5:$Y$174,21,FALSE),0)</f>
        <v>14418.483095060417</v>
      </c>
      <c r="AA177" s="12">
        <f>IFERROR(VLOOKUP($D177,Population!$B$5:$Y$174,22,FALSE),0)</f>
        <v>14660.447905779198</v>
      </c>
      <c r="AB177" s="12">
        <f>IFERROR(VLOOKUP($D177,Population!$B$5:$Y$174,23,FALSE),0)</f>
        <v>14660.457989295097</v>
      </c>
      <c r="AC177" s="12">
        <f>IFERROR(VLOOKUP($D177,Population!$B$5:$Y$174,24,FALSE),0)</f>
        <v>15108</v>
      </c>
    </row>
    <row r="178" spans="1:29" ht="15" x14ac:dyDescent="0.25">
      <c r="A178" s="11" t="s">
        <v>22</v>
      </c>
      <c r="B178" s="11" t="s">
        <v>654</v>
      </c>
      <c r="C178" s="11" t="s">
        <v>142</v>
      </c>
      <c r="D178" s="11">
        <v>6508</v>
      </c>
      <c r="E178" s="11">
        <v>2022</v>
      </c>
      <c r="F178" s="12">
        <f>VLOOKUP($D178,'2022Data to Complete Appendix C'!$C$8:$Q$313,2,FALSE)</f>
        <v>6067</v>
      </c>
      <c r="G178" s="12">
        <f>VLOOKUP($D178,'2022Data to Complete Appendix C'!$C$8:$Q$313,3,FALSE)</f>
        <v>2216</v>
      </c>
      <c r="H178" s="12">
        <f>VLOOKUP($D178,'2022Data to Complete Appendix C'!$C$8:$Q$313,4,FALSE)</f>
        <v>1679</v>
      </c>
      <c r="I178" s="12">
        <f>VLOOKUP($D178,'2022Data to Complete Appendix C'!$C$8:$Q$313,5,FALSE)</f>
        <v>2936</v>
      </c>
      <c r="J178" s="114">
        <f>VLOOKUP($D178,'2022Data to Complete Appendix C'!$C$8:$Q$313,6,FALSE)</f>
        <v>2.7378200000000001</v>
      </c>
      <c r="K178" s="114">
        <f>VLOOKUP($D178,'2022Data to Complete Appendix C'!$C$8:$Q$313,7,FALSE)</f>
        <v>1.95</v>
      </c>
      <c r="L178" s="114">
        <f>VLOOKUP($D178,'2022Data to Complete Appendix C'!$C$8:$Q$313,8,FALSE)</f>
        <v>1.17144</v>
      </c>
      <c r="M178" s="12">
        <f>VLOOKUP($D178,'2022Data to Complete Appendix C'!$C$8:$Q$313,9,FALSE)</f>
        <v>533.40099999999995</v>
      </c>
      <c r="N178" s="114">
        <f>VLOOKUP($D178,'2022Data to Complete Appendix C'!$C$8:$Q$313,10,FALSE)</f>
        <v>0.19400600000000001</v>
      </c>
      <c r="O178" s="115">
        <f>VLOOKUP($D178,'2022Data to Complete Appendix C'!$C$8:$Q$313,11,FALSE)</f>
        <v>0.56699999999999995</v>
      </c>
      <c r="P178" s="115">
        <f>VLOOKUP($D178,'2022Data to Complete Appendix C'!$C$8:$Q$313,12,FALSE)</f>
        <v>0.772675</v>
      </c>
      <c r="Q178" s="115">
        <f>VLOOKUP($D178,'2022Data to Complete Appendix C'!$C$8:$Q$313,13,FALSE)</f>
        <v>0.65200000000000002</v>
      </c>
      <c r="R178" s="114">
        <f>VLOOKUP($D178,'2022Data to Complete Appendix C'!$C$8:$Q$313,14,FALSE)</f>
        <v>2.2999999999999998</v>
      </c>
      <c r="S178" s="115">
        <f>VLOOKUP($D178,'2022Data to Complete Appendix C'!$C$8:$Q$313,15,FALSE)</f>
        <v>-0.441909</v>
      </c>
      <c r="T178" s="12">
        <f>IFERROR(VLOOKUP($D178,'2022LodgingbyWUP'!$A$1:$D$98,4,FALSE),0)</f>
        <v>67</v>
      </c>
      <c r="U178" s="12">
        <f t="shared" si="3"/>
        <v>100.47320000000001</v>
      </c>
      <c r="V178" s="12">
        <f>IFERROR(VLOOKUP($D178,Total_DU!$B$5:$Z$174,22,0),0)</f>
        <v>1611</v>
      </c>
      <c r="W178" s="12">
        <f>IFERROR(VLOOKUP($D178,Total_DU!$B$5:$Z$174,23,0),0)</f>
        <v>1615</v>
      </c>
      <c r="X178" s="12">
        <f>IFERROR(VLOOKUP($D178,Total_DU!$B$5:$Z$174,24,0),0)</f>
        <v>1619</v>
      </c>
      <c r="Y178" s="12">
        <f>IFERROR(VLOOKUP($D178,Total_DU!$B$5:$Z$174,25,0),0)</f>
        <v>1624</v>
      </c>
      <c r="Z178" s="12">
        <f>IFERROR(VLOOKUP($D178,Population!$B$5:$Y$174,21,FALSE),0)</f>
        <v>5344.4335858540699</v>
      </c>
      <c r="AA178" s="12">
        <f>IFERROR(VLOOKUP($D178,Population!$B$5:$Y$174,22,FALSE),0)</f>
        <v>5356.5275193162652</v>
      </c>
      <c r="AB178" s="12">
        <f>IFERROR(VLOOKUP($D178,Population!$B$5:$Y$174,23,FALSE),0)</f>
        <v>5071.9028888100556</v>
      </c>
      <c r="AC178" s="12">
        <f>IFERROR(VLOOKUP($D178,Population!$B$5:$Y$174,24,FALSE),0)</f>
        <v>5058</v>
      </c>
    </row>
    <row r="179" spans="1:29" ht="15" x14ac:dyDescent="0.25">
      <c r="A179" s="2" t="s">
        <v>22</v>
      </c>
      <c r="B179" s="2" t="s">
        <v>655</v>
      </c>
      <c r="C179" s="2" t="s">
        <v>142</v>
      </c>
      <c r="D179" s="2">
        <v>6509</v>
      </c>
      <c r="E179" s="11">
        <v>2022</v>
      </c>
      <c r="F179" s="12">
        <f>VLOOKUP($D179,'2022Data to Complete Appendix C'!$C$8:$Q$313,2,FALSE)</f>
        <v>34042</v>
      </c>
      <c r="G179" s="12">
        <f>VLOOKUP($D179,'2022Data to Complete Appendix C'!$C$8:$Q$313,3,FALSE)</f>
        <v>12915</v>
      </c>
      <c r="H179" s="12">
        <f>VLOOKUP($D179,'2022Data to Complete Appendix C'!$C$8:$Q$313,4,FALSE)</f>
        <v>0</v>
      </c>
      <c r="I179" s="12">
        <f>VLOOKUP($D179,'2022Data to Complete Appendix C'!$C$8:$Q$313,5,FALSE)</f>
        <v>24427</v>
      </c>
      <c r="J179" s="114">
        <f>VLOOKUP($D179,'2022Data to Complete Appendix C'!$C$8:$Q$313,6,FALSE)</f>
        <v>2.63585</v>
      </c>
      <c r="K179" s="114">
        <f>VLOOKUP($D179,'2022Data to Complete Appendix C'!$C$8:$Q$313,7,FALSE)</f>
        <v>1.95</v>
      </c>
      <c r="L179" s="114">
        <f>VLOOKUP($D179,'2022Data to Complete Appendix C'!$C$8:$Q$313,8,FALSE)</f>
        <v>1.17184</v>
      </c>
      <c r="M179" s="12">
        <f>VLOOKUP($D179,'2022Data to Complete Appendix C'!$C$8:$Q$313,9,FALSE)</f>
        <v>2999.83</v>
      </c>
      <c r="N179" s="114">
        <f>VLOOKUP($D179,'2022Data to Complete Appendix C'!$C$8:$Q$313,10,FALSE)</f>
        <v>0.18849299999999999</v>
      </c>
      <c r="O179" s="115">
        <f>VLOOKUP($D179,'2022Data to Complete Appendix C'!$C$8:$Q$313,11,FALSE)</f>
        <v>0.56699999999999995</v>
      </c>
      <c r="P179" s="115">
        <f>VLOOKUP($D179,'2022Data to Complete Appendix C'!$C$8:$Q$313,12,FALSE)</f>
        <v>0.772675</v>
      </c>
      <c r="Q179" s="115">
        <f>VLOOKUP($D179,'2022Data to Complete Appendix C'!$C$8:$Q$313,13,FALSE)</f>
        <v>0.65200000000000002</v>
      </c>
      <c r="R179" s="114">
        <f>VLOOKUP($D179,'2022Data to Complete Appendix C'!$C$8:$Q$313,14,FALSE)</f>
        <v>2.2999999999999998</v>
      </c>
      <c r="S179" s="115">
        <f>VLOOKUP($D179,'2022Data to Complete Appendix C'!$C$8:$Q$313,15,FALSE)</f>
        <v>-0.52971999999999997</v>
      </c>
      <c r="T179" s="12">
        <f>IFERROR(VLOOKUP($D179,'2022LodgingbyWUP'!$A$1:$D$98,4,FALSE),0)</f>
        <v>5796</v>
      </c>
      <c r="U179" s="12">
        <f t="shared" si="3"/>
        <v>8691.6815999999999</v>
      </c>
      <c r="V179" s="12">
        <f>IFERROR(VLOOKUP($D179,Total_DU!$B$5:$Z$174,22,0),0)</f>
        <v>26579</v>
      </c>
      <c r="W179" s="12">
        <f>IFERROR(VLOOKUP($D179,Total_DU!$B$5:$Z$174,23,0),0)</f>
        <v>27692</v>
      </c>
      <c r="X179" s="12">
        <f>IFERROR(VLOOKUP($D179,Total_DU!$B$5:$Z$174,24,0),0)</f>
        <v>29694</v>
      </c>
      <c r="Y179" s="12">
        <f>IFERROR(VLOOKUP($D179,Total_DU!$B$5:$Z$174,25,0),0)</f>
        <v>31171</v>
      </c>
      <c r="Z179" s="12">
        <f>IFERROR(VLOOKUP($D179,Population!$B$5:$Y$174,21,FALSE),0)</f>
        <v>73266.571946304088</v>
      </c>
      <c r="AA179" s="12">
        <f>IFERROR(VLOOKUP($D179,Population!$B$5:$Y$174,22,FALSE),0)</f>
        <v>85100</v>
      </c>
      <c r="AB179" s="12">
        <f>IFERROR(VLOOKUP($D179,Population!$B$5:$Y$174,23,FALSE),0)</f>
        <v>90983</v>
      </c>
      <c r="AC179" s="12">
        <f>IFERROR(VLOOKUP($D179,Population!$B$5:$Y$174,24,FALSE),0)</f>
        <v>92298</v>
      </c>
    </row>
    <row r="180" spans="1:29" ht="15" x14ac:dyDescent="0.25">
      <c r="A180" s="11" t="s">
        <v>22</v>
      </c>
      <c r="B180" s="11" t="s">
        <v>656</v>
      </c>
      <c r="C180" s="11" t="s">
        <v>73</v>
      </c>
      <c r="D180" s="11">
        <v>6624</v>
      </c>
      <c r="E180" s="11">
        <v>2022</v>
      </c>
      <c r="F180" s="12">
        <f>VLOOKUP($D180,'2022Data to Complete Appendix C'!$C$8:$Q$313,2,FALSE)</f>
        <v>10447</v>
      </c>
      <c r="G180" s="12">
        <f>VLOOKUP($D180,'2022Data to Complete Appendix C'!$C$8:$Q$313,3,FALSE)</f>
        <v>4280</v>
      </c>
      <c r="H180" s="12">
        <f>VLOOKUP($D180,'2022Data to Complete Appendix C'!$C$8:$Q$313,4,FALSE)</f>
        <v>1857</v>
      </c>
      <c r="I180" s="12">
        <f>VLOOKUP($D180,'2022Data to Complete Appendix C'!$C$8:$Q$313,5,FALSE)</f>
        <v>5223</v>
      </c>
      <c r="J180" s="114">
        <f>VLOOKUP($D180,'2022Data to Complete Appendix C'!$C$8:$Q$313,6,FALSE)</f>
        <v>2.44089</v>
      </c>
      <c r="K180" s="114">
        <f>VLOOKUP($D180,'2022Data to Complete Appendix C'!$C$8:$Q$313,7,FALSE)</f>
        <v>1.95</v>
      </c>
      <c r="L180" s="114">
        <f>VLOOKUP($D180,'2022Data to Complete Appendix C'!$C$8:$Q$313,8,FALSE)</f>
        <v>1.09744</v>
      </c>
      <c r="M180" s="12">
        <f>VLOOKUP($D180,'2022Data to Complete Appendix C'!$C$8:$Q$313,9,FALSE)</f>
        <v>522.03899999999999</v>
      </c>
      <c r="N180" s="114">
        <f>VLOOKUP($D180,'2022Data to Complete Appendix C'!$C$8:$Q$313,10,FALSE)</f>
        <v>0.108712</v>
      </c>
      <c r="O180" s="115">
        <f>VLOOKUP($D180,'2022Data to Complete Appendix C'!$C$8:$Q$313,11,FALSE)</f>
        <v>0.56699999999999995</v>
      </c>
      <c r="P180" s="115">
        <f>VLOOKUP($D180,'2022Data to Complete Appendix C'!$C$8:$Q$313,12,FALSE)</f>
        <v>0.772675</v>
      </c>
      <c r="Q180" s="115">
        <f>VLOOKUP($D180,'2022Data to Complete Appendix C'!$C$8:$Q$313,13,FALSE)</f>
        <v>0.65200000000000002</v>
      </c>
      <c r="R180" s="114">
        <f>VLOOKUP($D180,'2022Data to Complete Appendix C'!$C$8:$Q$313,14,FALSE)</f>
        <v>2.2999999999999998</v>
      </c>
      <c r="S180" s="115">
        <f>VLOOKUP($D180,'2022Data to Complete Appendix C'!$C$8:$Q$313,15,FALSE)</f>
        <v>-0.229042</v>
      </c>
      <c r="T180" s="12">
        <f>IFERROR(VLOOKUP($D180,'2022LodgingbyWUP'!$A$1:$D$98,4,FALSE),0)</f>
        <v>36</v>
      </c>
      <c r="U180" s="12">
        <f t="shared" si="3"/>
        <v>53.985599999999998</v>
      </c>
      <c r="V180" s="12">
        <f>IFERROR(VLOOKUP($D180,Total_DU!$B$5:$Z$174,22,0),0)</f>
        <v>3034</v>
      </c>
      <c r="W180" s="12">
        <f>IFERROR(VLOOKUP($D180,Total_DU!$B$5:$Z$174,23,0),0)</f>
        <v>3125</v>
      </c>
      <c r="X180" s="12">
        <f>IFERROR(VLOOKUP($D180,Total_DU!$B$5:$Z$174,24,0),0)</f>
        <v>3173</v>
      </c>
      <c r="Y180" s="12">
        <f>IFERROR(VLOOKUP($D180,Total_DU!$B$5:$Z$174,25,0),0)</f>
        <v>3235</v>
      </c>
      <c r="Z180" s="12">
        <f>IFERROR(VLOOKUP($D180,Population!$B$5:$Y$174,21,FALSE),0)</f>
        <v>8214.6697339565617</v>
      </c>
      <c r="AA180" s="12">
        <f>IFERROR(VLOOKUP($D180,Population!$B$5:$Y$174,22,FALSE),0)</f>
        <v>8459.5497764248885</v>
      </c>
      <c r="AB180" s="12">
        <f>IFERROR(VLOOKUP($D180,Population!$B$5:$Y$174,23,FALSE),0)</f>
        <v>8596.5313070172615</v>
      </c>
      <c r="AC180" s="12">
        <f>IFERROR(VLOOKUP($D180,Population!$B$5:$Y$174,24,FALSE),0)</f>
        <v>8752</v>
      </c>
    </row>
    <row r="181" spans="1:29" ht="15" x14ac:dyDescent="0.25">
      <c r="A181" s="2" t="s">
        <v>22</v>
      </c>
      <c r="B181" s="2" t="s">
        <v>657</v>
      </c>
      <c r="C181" s="2" t="s">
        <v>119</v>
      </c>
      <c r="D181" s="2">
        <v>6679</v>
      </c>
      <c r="E181" s="11">
        <v>2022</v>
      </c>
      <c r="F181" s="12">
        <f>VLOOKUP($D181,'2022Data to Complete Appendix C'!$C$8:$Q$313,2,FALSE)</f>
        <v>246</v>
      </c>
      <c r="G181" s="12">
        <f>VLOOKUP($D181,'2022Data to Complete Appendix C'!$C$8:$Q$313,3,FALSE)</f>
        <v>94</v>
      </c>
      <c r="H181" s="12">
        <f>VLOOKUP($D181,'2022Data to Complete Appendix C'!$C$8:$Q$313,4,FALSE)</f>
        <v>0</v>
      </c>
      <c r="I181" s="12">
        <f>VLOOKUP($D181,'2022Data to Complete Appendix C'!$C$8:$Q$313,5,FALSE)</f>
        <v>103</v>
      </c>
      <c r="J181" s="114">
        <f>VLOOKUP($D181,'2022Data to Complete Appendix C'!$C$8:$Q$313,6,FALSE)</f>
        <v>2.6170200000000001</v>
      </c>
      <c r="K181" s="114">
        <f>VLOOKUP($D181,'2022Data to Complete Appendix C'!$C$8:$Q$313,7,FALSE)</f>
        <v>1.95</v>
      </c>
      <c r="L181" s="114">
        <f>VLOOKUP($D181,'2022Data to Complete Appendix C'!$C$8:$Q$313,8,FALSE)</f>
        <v>1.1256200000000001</v>
      </c>
      <c r="M181" s="12">
        <f>VLOOKUP($D181,'2022Data to Complete Appendix C'!$C$8:$Q$313,9,FALSE)</f>
        <v>15.8474</v>
      </c>
      <c r="N181" s="114">
        <f>VLOOKUP($D181,'2022Data to Complete Appendix C'!$C$8:$Q$313,10,FALSE)</f>
        <v>0.14426800000000001</v>
      </c>
      <c r="O181" s="115">
        <f>VLOOKUP($D181,'2022Data to Complete Appendix C'!$C$8:$Q$313,11,FALSE)</f>
        <v>0.56699999999999995</v>
      </c>
      <c r="P181" s="115">
        <f>VLOOKUP($D181,'2022Data to Complete Appendix C'!$C$8:$Q$313,12,FALSE)</f>
        <v>0.772675</v>
      </c>
      <c r="Q181" s="115">
        <f>VLOOKUP($D181,'2022Data to Complete Appendix C'!$C$8:$Q$313,13,FALSE)</f>
        <v>0.65200000000000002</v>
      </c>
      <c r="R181" s="114">
        <f>VLOOKUP($D181,'2022Data to Complete Appendix C'!$C$8:$Q$313,14,FALSE)</f>
        <v>2.2999999999999998</v>
      </c>
      <c r="S181" s="115">
        <f>VLOOKUP($D181,'2022Data to Complete Appendix C'!$C$8:$Q$313,15,FALSE)</f>
        <v>-2.5196E-2</v>
      </c>
      <c r="T181" s="12">
        <f>IFERROR(VLOOKUP($D181,'2022LodgingbyWUP'!$A$1:$D$98,4,FALSE),0)</f>
        <v>0</v>
      </c>
      <c r="U181" s="12">
        <f t="shared" si="3"/>
        <v>0</v>
      </c>
      <c r="V181" s="12">
        <f>IFERROR(VLOOKUP($D181,Total_DU!$B$5:$Z$174,22,0),0)</f>
        <v>0</v>
      </c>
      <c r="W181" s="12">
        <f>IFERROR(VLOOKUP($D181,Total_DU!$B$5:$Z$174,23,0),0)</f>
        <v>0</v>
      </c>
      <c r="X181" s="12">
        <f>IFERROR(VLOOKUP($D181,Total_DU!$B$5:$Z$174,24,0),0)</f>
        <v>0</v>
      </c>
      <c r="Y181" s="12">
        <f>IFERROR(VLOOKUP($D181,Total_DU!$B$5:$Z$174,25,0),0)</f>
        <v>0</v>
      </c>
      <c r="Z181" s="12">
        <f>IFERROR(VLOOKUP($D181,Population!$B$5:$Y$174,21,FALSE),0)</f>
        <v>0</v>
      </c>
      <c r="AA181" s="12">
        <f>IFERROR(VLOOKUP($D181,Population!$B$5:$Y$174,22,FALSE),0)</f>
        <v>0</v>
      </c>
      <c r="AB181" s="12">
        <f>IFERROR(VLOOKUP($D181,Population!$B$5:$Y$174,23,FALSE),0)</f>
        <v>0</v>
      </c>
      <c r="AC181" s="12">
        <f>IFERROR(VLOOKUP($D181,Population!$B$5:$Y$174,24,FALSE),0)</f>
        <v>0</v>
      </c>
    </row>
    <row r="182" spans="1:29" ht="15" x14ac:dyDescent="0.25">
      <c r="A182" s="11" t="s">
        <v>22</v>
      </c>
      <c r="B182" s="11" t="s">
        <v>658</v>
      </c>
      <c r="C182" s="11" t="s">
        <v>69</v>
      </c>
      <c r="D182" s="11">
        <v>6920</v>
      </c>
      <c r="E182" s="11">
        <v>2022</v>
      </c>
      <c r="F182" s="12">
        <f>VLOOKUP($D182,'2022Data to Complete Appendix C'!$C$8:$Q$313,2,FALSE)</f>
        <v>6628</v>
      </c>
      <c r="G182" s="12">
        <f>VLOOKUP($D182,'2022Data to Complete Appendix C'!$C$8:$Q$313,3,FALSE)</f>
        <v>2126</v>
      </c>
      <c r="H182" s="12">
        <f>VLOOKUP($D182,'2022Data to Complete Appendix C'!$C$8:$Q$313,4,FALSE)</f>
        <v>0</v>
      </c>
      <c r="I182" s="12">
        <f>VLOOKUP($D182,'2022Data to Complete Appendix C'!$C$8:$Q$313,5,FALSE)</f>
        <v>2390</v>
      </c>
      <c r="J182" s="114">
        <f>VLOOKUP($D182,'2022Data to Complete Appendix C'!$C$8:$Q$313,6,FALSE)</f>
        <v>3.1175899999999999</v>
      </c>
      <c r="K182" s="114">
        <f>VLOOKUP($D182,'2022Data to Complete Appendix C'!$C$8:$Q$313,7,FALSE)</f>
        <v>1.95</v>
      </c>
      <c r="L182" s="114">
        <f>VLOOKUP($D182,'2022Data to Complete Appendix C'!$C$8:$Q$313,8,FALSE)</f>
        <v>1.1085100000000001</v>
      </c>
      <c r="M182" s="12">
        <f>VLOOKUP($D182,'2022Data to Complete Appendix C'!$C$8:$Q$313,9,FALSE)</f>
        <v>368.81599999999997</v>
      </c>
      <c r="N182" s="114">
        <f>VLOOKUP($D182,'2022Data to Complete Appendix C'!$C$8:$Q$313,10,FALSE)</f>
        <v>0.14783299999999999</v>
      </c>
      <c r="O182" s="115">
        <f>VLOOKUP($D182,'2022Data to Complete Appendix C'!$C$8:$Q$313,11,FALSE)</f>
        <v>0.56699999999999995</v>
      </c>
      <c r="P182" s="115">
        <f>VLOOKUP($D182,'2022Data to Complete Appendix C'!$C$8:$Q$313,12,FALSE)</f>
        <v>0.772675</v>
      </c>
      <c r="Q182" s="115">
        <f>VLOOKUP($D182,'2022Data to Complete Appendix C'!$C$8:$Q$313,13,FALSE)</f>
        <v>0.65200000000000002</v>
      </c>
      <c r="R182" s="114">
        <f>VLOOKUP($D182,'2022Data to Complete Appendix C'!$C$8:$Q$313,14,FALSE)</f>
        <v>2.2999999999999998</v>
      </c>
      <c r="S182" s="115">
        <f>VLOOKUP($D182,'2022Data to Complete Appendix C'!$C$8:$Q$313,15,FALSE)</f>
        <v>-0.45604800000000001</v>
      </c>
      <c r="T182" s="12">
        <f>IFERROR(VLOOKUP($D182,'2022LodgingbyWUP'!$A$1:$D$98,4,FALSE),0)</f>
        <v>2</v>
      </c>
      <c r="U182" s="12">
        <f t="shared" si="3"/>
        <v>2.9992000000000001</v>
      </c>
      <c r="V182" s="12">
        <f>IFERROR(VLOOKUP($D182,Total_DU!$B$5:$Z$174,22,0),0)</f>
        <v>1332</v>
      </c>
      <c r="W182" s="12">
        <f>IFERROR(VLOOKUP($D182,Total_DU!$B$5:$Z$174,23,0),0)</f>
        <v>1425</v>
      </c>
      <c r="X182" s="12">
        <f>IFERROR(VLOOKUP($D182,Total_DU!$B$5:$Z$174,24,0),0)</f>
        <v>1574</v>
      </c>
      <c r="Y182" s="12">
        <f>IFERROR(VLOOKUP($D182,Total_DU!$B$5:$Z$174,25,0),0)</f>
        <v>1817</v>
      </c>
      <c r="Z182" s="12">
        <f>IFERROR(VLOOKUP($D182,Population!$B$5:$Y$174,21,FALSE),0)</f>
        <v>3836.8999243527751</v>
      </c>
      <c r="AA182" s="12">
        <f>IFERROR(VLOOKUP($D182,Population!$B$5:$Y$174,22,FALSE),0)</f>
        <v>4106.1384145919892</v>
      </c>
      <c r="AB182" s="12">
        <f>IFERROR(VLOOKUP($D182,Population!$B$5:$Y$174,23,FALSE),0)</f>
        <v>4535.1958340989559</v>
      </c>
      <c r="AC182" s="12">
        <f>IFERROR(VLOOKUP($D182,Population!$B$5:$Y$174,24,FALSE),0)</f>
        <v>5234</v>
      </c>
    </row>
    <row r="183" spans="1:29" ht="15" x14ac:dyDescent="0.25">
      <c r="A183" s="2" t="s">
        <v>22</v>
      </c>
      <c r="B183" s="2" t="s">
        <v>659</v>
      </c>
      <c r="C183" s="2" t="s">
        <v>53</v>
      </c>
      <c r="D183" s="2">
        <v>7119</v>
      </c>
      <c r="E183" s="11">
        <v>2022</v>
      </c>
      <c r="F183" s="12">
        <f>VLOOKUP($D183,'2022Data to Complete Appendix C'!$C$8:$Q$313,2,FALSE)</f>
        <v>37244</v>
      </c>
      <c r="G183" s="12">
        <f>VLOOKUP($D183,'2022Data to Complete Appendix C'!$C$8:$Q$313,3,FALSE)</f>
        <v>14254</v>
      </c>
      <c r="H183" s="12">
        <f>VLOOKUP($D183,'2022Data to Complete Appendix C'!$C$8:$Q$313,4,FALSE)</f>
        <v>1972</v>
      </c>
      <c r="I183" s="12">
        <f>VLOOKUP($D183,'2022Data to Complete Appendix C'!$C$8:$Q$313,5,FALSE)</f>
        <v>16458</v>
      </c>
      <c r="J183" s="114">
        <f>VLOOKUP($D183,'2022Data to Complete Appendix C'!$C$8:$Q$313,6,FALSE)</f>
        <v>2.6128800000000001</v>
      </c>
      <c r="K183" s="114">
        <f>VLOOKUP($D183,'2022Data to Complete Appendix C'!$C$8:$Q$313,7,FALSE)</f>
        <v>1.95</v>
      </c>
      <c r="L183" s="114">
        <f>VLOOKUP($D183,'2022Data to Complete Appendix C'!$C$8:$Q$313,8,FALSE)</f>
        <v>1.07664</v>
      </c>
      <c r="M183" s="12">
        <f>VLOOKUP($D183,'2022Data to Complete Appendix C'!$C$8:$Q$313,9,FALSE)</f>
        <v>1463.82</v>
      </c>
      <c r="N183" s="114">
        <f>VLOOKUP($D183,'2022Data to Complete Appendix C'!$C$8:$Q$313,10,FALSE)</f>
        <v>9.3131400000000003E-2</v>
      </c>
      <c r="O183" s="115">
        <f>VLOOKUP($D183,'2022Data to Complete Appendix C'!$C$8:$Q$313,11,FALSE)</f>
        <v>0.56699999999999995</v>
      </c>
      <c r="P183" s="115">
        <f>VLOOKUP($D183,'2022Data to Complete Appendix C'!$C$8:$Q$313,12,FALSE)</f>
        <v>0.772675</v>
      </c>
      <c r="Q183" s="115">
        <f>VLOOKUP($D183,'2022Data to Complete Appendix C'!$C$8:$Q$313,13,FALSE)</f>
        <v>0.65200000000000002</v>
      </c>
      <c r="R183" s="114">
        <f>VLOOKUP($D183,'2022Data to Complete Appendix C'!$C$8:$Q$313,14,FALSE)</f>
        <v>2.2999999999999998</v>
      </c>
      <c r="S183" s="115">
        <f>VLOOKUP($D183,'2022Data to Complete Appendix C'!$C$8:$Q$313,15,FALSE)</f>
        <v>-0.205794</v>
      </c>
      <c r="T183" s="12">
        <f>IFERROR(VLOOKUP($D183,'2022LodgingbyWUP'!$A$1:$D$98,4,FALSE),0)</f>
        <v>100</v>
      </c>
      <c r="U183" s="12">
        <f t="shared" si="3"/>
        <v>149.96</v>
      </c>
      <c r="V183" s="12">
        <f>IFERROR(VLOOKUP($D183,Total_DU!$B$5:$Z$174,22,0),0)</f>
        <v>12076</v>
      </c>
      <c r="W183" s="12">
        <f>IFERROR(VLOOKUP($D183,Total_DU!$B$5:$Z$174,23,0),0)</f>
        <v>11520</v>
      </c>
      <c r="X183" s="12">
        <f>IFERROR(VLOOKUP($D183,Total_DU!$B$5:$Z$174,24,0),0)</f>
        <v>12085</v>
      </c>
      <c r="Y183" s="12">
        <f>IFERROR(VLOOKUP($D183,Total_DU!$B$5:$Z$174,25,0),0)</f>
        <v>12631</v>
      </c>
      <c r="Z183" s="12">
        <f>IFERROR(VLOOKUP($D183,Population!$B$5:$Y$174,21,FALSE),0)</f>
        <v>31557</v>
      </c>
      <c r="AA183" s="12">
        <f>IFERROR(VLOOKUP($D183,Population!$B$5:$Y$174,22,FALSE),0)</f>
        <v>30457.885718671245</v>
      </c>
      <c r="AB183" s="12">
        <f>IFERROR(VLOOKUP($D183,Population!$B$5:$Y$174,23,FALSE),0)</f>
        <v>31922.671760937868</v>
      </c>
      <c r="AC183" s="12">
        <f>IFERROR(VLOOKUP($D183,Population!$B$5:$Y$174,24,FALSE),0)</f>
        <v>33324</v>
      </c>
    </row>
    <row r="184" spans="1:29" ht="15" x14ac:dyDescent="0.25">
      <c r="A184" s="11" t="s">
        <v>22</v>
      </c>
      <c r="B184" s="11" t="s">
        <v>660</v>
      </c>
      <c r="C184" s="11" t="s">
        <v>161</v>
      </c>
      <c r="D184" s="11">
        <v>7172</v>
      </c>
      <c r="E184" s="11">
        <v>2022</v>
      </c>
      <c r="F184" s="12">
        <f>VLOOKUP($D184,'2022Data to Complete Appendix C'!$C$8:$Q$313,2,FALSE)</f>
        <v>270</v>
      </c>
      <c r="G184" s="12">
        <f>VLOOKUP($D184,'2022Data to Complete Appendix C'!$C$8:$Q$313,3,FALSE)</f>
        <v>76</v>
      </c>
      <c r="H184" s="12">
        <f>VLOOKUP($D184,'2022Data to Complete Appendix C'!$C$8:$Q$313,4,FALSE)</f>
        <v>0</v>
      </c>
      <c r="I184" s="12">
        <f>VLOOKUP($D184,'2022Data to Complete Appendix C'!$C$8:$Q$313,5,FALSE)</f>
        <v>89</v>
      </c>
      <c r="J184" s="114">
        <f>VLOOKUP($D184,'2022Data to Complete Appendix C'!$C$8:$Q$313,6,FALSE)</f>
        <v>3.5526300000000002</v>
      </c>
      <c r="K184" s="114">
        <f>VLOOKUP($D184,'2022Data to Complete Appendix C'!$C$8:$Q$313,7,FALSE)</f>
        <v>1.95</v>
      </c>
      <c r="L184" s="114">
        <f>VLOOKUP($D184,'2022Data to Complete Appendix C'!$C$8:$Q$313,8,FALSE)</f>
        <v>1.1085100000000001</v>
      </c>
      <c r="M184" s="12">
        <f>VLOOKUP($D184,'2022Data to Complete Appendix C'!$C$8:$Q$313,9,FALSE)</f>
        <v>15.0242</v>
      </c>
      <c r="N184" s="114">
        <f>VLOOKUP($D184,'2022Data to Complete Appendix C'!$C$8:$Q$313,10,FALSE)</f>
        <v>0.16505700000000001</v>
      </c>
      <c r="O184" s="115">
        <f>VLOOKUP($D184,'2022Data to Complete Appendix C'!$C$8:$Q$313,11,FALSE)</f>
        <v>0.56699999999999995</v>
      </c>
      <c r="P184" s="115">
        <f>VLOOKUP($D184,'2022Data to Complete Appendix C'!$C$8:$Q$313,12,FALSE)</f>
        <v>0.772675</v>
      </c>
      <c r="Q184" s="115">
        <f>VLOOKUP($D184,'2022Data to Complete Appendix C'!$C$8:$Q$313,13,FALSE)</f>
        <v>0.65200000000000002</v>
      </c>
      <c r="R184" s="114">
        <f>VLOOKUP($D184,'2022Data to Complete Appendix C'!$C$8:$Q$313,14,FALSE)</f>
        <v>2.2999999999999998</v>
      </c>
      <c r="S184" s="115">
        <f>VLOOKUP($D184,'2022Data to Complete Appendix C'!$C$8:$Q$313,15,FALSE)</f>
        <v>-0.45604800000000001</v>
      </c>
      <c r="T184" s="12">
        <f>IFERROR(VLOOKUP($D184,'2022LodgingbyWUP'!$A$1:$D$98,4,FALSE),0)</f>
        <v>0</v>
      </c>
      <c r="U184" s="12">
        <f t="shared" si="3"/>
        <v>0</v>
      </c>
      <c r="V184" s="12">
        <f>IFERROR(VLOOKUP($D184,Total_DU!$B$5:$Z$174,22,0),0)</f>
        <v>0</v>
      </c>
      <c r="W184" s="12">
        <f>IFERROR(VLOOKUP($D184,Total_DU!$B$5:$Z$174,23,0),0)</f>
        <v>0</v>
      </c>
      <c r="X184" s="12">
        <f>IFERROR(VLOOKUP($D184,Total_DU!$B$5:$Z$174,24,0),0)</f>
        <v>0</v>
      </c>
      <c r="Y184" s="12">
        <f>IFERROR(VLOOKUP($D184,Total_DU!$B$5:$Z$174,25,0),0)</f>
        <v>0</v>
      </c>
      <c r="Z184" s="12">
        <f>IFERROR(VLOOKUP($D184,Population!$B$5:$Y$174,21,FALSE),0)</f>
        <v>0</v>
      </c>
      <c r="AA184" s="12">
        <f>IFERROR(VLOOKUP($D184,Population!$B$5:$Y$174,22,FALSE),0)</f>
        <v>0</v>
      </c>
      <c r="AB184" s="12">
        <f>IFERROR(VLOOKUP($D184,Population!$B$5:$Y$174,23,FALSE),0)</f>
        <v>0</v>
      </c>
      <c r="AC184" s="12">
        <f>IFERROR(VLOOKUP($D184,Population!$B$5:$Y$174,24,FALSE),0)</f>
        <v>0</v>
      </c>
    </row>
    <row r="185" spans="1:29" ht="15" x14ac:dyDescent="0.25">
      <c r="A185" s="2" t="s">
        <v>22</v>
      </c>
      <c r="B185" s="2" t="s">
        <v>661</v>
      </c>
      <c r="C185" s="2" t="s">
        <v>51</v>
      </c>
      <c r="D185" s="2">
        <v>7187</v>
      </c>
      <c r="E185" s="11">
        <v>2022</v>
      </c>
      <c r="F185" s="12">
        <f>VLOOKUP($D185,'2022Data to Complete Appendix C'!$C$8:$Q$313,2,FALSE)</f>
        <v>1884</v>
      </c>
      <c r="G185" s="12">
        <f>VLOOKUP($D185,'2022Data to Complete Appendix C'!$C$8:$Q$313,3,FALSE)</f>
        <v>1089</v>
      </c>
      <c r="H185" s="12">
        <f>VLOOKUP($D185,'2022Data to Complete Appendix C'!$C$8:$Q$313,4,FALSE)</f>
        <v>0</v>
      </c>
      <c r="I185" s="12">
        <f>VLOOKUP($D185,'2022Data to Complete Appendix C'!$C$8:$Q$313,5,FALSE)</f>
        <v>1407</v>
      </c>
      <c r="J185" s="114">
        <f>VLOOKUP($D185,'2022Data to Complete Appendix C'!$C$8:$Q$313,6,FALSE)</f>
        <v>1.73003</v>
      </c>
      <c r="K185" s="114">
        <f>VLOOKUP($D185,'2022Data to Complete Appendix C'!$C$8:$Q$313,7,FALSE)</f>
        <v>1.95</v>
      </c>
      <c r="L185" s="114">
        <f>VLOOKUP($D185,'2022Data to Complete Appendix C'!$C$8:$Q$313,8,FALSE)</f>
        <v>1.1408700000000001</v>
      </c>
      <c r="M185" s="12">
        <f>VLOOKUP($D185,'2022Data to Complete Appendix C'!$C$8:$Q$313,9,FALSE)</f>
        <v>136.09899999999999</v>
      </c>
      <c r="N185" s="114">
        <f>VLOOKUP($D185,'2022Data to Complete Appendix C'!$C$8:$Q$313,10,FALSE)</f>
        <v>0.111092</v>
      </c>
      <c r="O185" s="115">
        <f>VLOOKUP($D185,'2022Data to Complete Appendix C'!$C$8:$Q$313,11,FALSE)</f>
        <v>0.56699999999999995</v>
      </c>
      <c r="P185" s="115">
        <f>VLOOKUP($D185,'2022Data to Complete Appendix C'!$C$8:$Q$313,12,FALSE)</f>
        <v>0.772675</v>
      </c>
      <c r="Q185" s="115">
        <f>VLOOKUP($D185,'2022Data to Complete Appendix C'!$C$8:$Q$313,13,FALSE)</f>
        <v>0.65200000000000002</v>
      </c>
      <c r="R185" s="114">
        <f>VLOOKUP($D185,'2022Data to Complete Appendix C'!$C$8:$Q$313,14,FALSE)</f>
        <v>2.2999999999999998</v>
      </c>
      <c r="S185" s="115">
        <f>VLOOKUP($D185,'2022Data to Complete Appendix C'!$C$8:$Q$313,15,FALSE)</f>
        <v>-0.13492999999999999</v>
      </c>
      <c r="T185" s="12">
        <f>IFERROR(VLOOKUP($D185,'2022LodgingbyWUP'!$A$1:$D$98,4,FALSE),0)</f>
        <v>0</v>
      </c>
      <c r="U185" s="12">
        <f t="shared" si="3"/>
        <v>0</v>
      </c>
      <c r="V185" s="12">
        <f>IFERROR(VLOOKUP($D185,Total_DU!$B$5:$Z$174,22,0),0)</f>
        <v>869</v>
      </c>
      <c r="W185" s="12">
        <f>IFERROR(VLOOKUP($D185,Total_DU!$B$5:$Z$174,23,0),0)</f>
        <v>869</v>
      </c>
      <c r="X185" s="12">
        <f>IFERROR(VLOOKUP($D185,Total_DU!$B$5:$Z$174,24,0),0)</f>
        <v>869</v>
      </c>
      <c r="Y185" s="12">
        <f>IFERROR(VLOOKUP($D185,Total_DU!$B$5:$Z$174,25,0),0)</f>
        <v>869</v>
      </c>
      <c r="Z185" s="12">
        <f>IFERROR(VLOOKUP($D185,Population!$B$5:$Y$174,21,FALSE),0)</f>
        <v>1481.8372073817673</v>
      </c>
      <c r="AA185" s="12">
        <f>IFERROR(VLOOKUP($D185,Population!$B$5:$Y$174,22,FALSE),0)</f>
        <v>1481.8371301358359</v>
      </c>
      <c r="AB185" s="12">
        <f>IFERROR(VLOOKUP($D185,Population!$B$5:$Y$174,23,FALSE),0)</f>
        <v>1481.8371612722822</v>
      </c>
      <c r="AC185" s="12">
        <f>IFERROR(VLOOKUP($D185,Population!$B$5:$Y$174,24,FALSE),0)</f>
        <v>1482</v>
      </c>
    </row>
    <row r="186" spans="1:29" ht="15" x14ac:dyDescent="0.25">
      <c r="A186" s="11" t="s">
        <v>22</v>
      </c>
      <c r="B186" s="11" t="s">
        <v>662</v>
      </c>
      <c r="C186" s="11" t="s">
        <v>44</v>
      </c>
      <c r="D186" s="11">
        <v>7328</v>
      </c>
      <c r="E186" s="11">
        <v>2022</v>
      </c>
      <c r="F186" s="12">
        <f>VLOOKUP($D186,'2022Data to Complete Appendix C'!$C$8:$Q$313,2,FALSE)</f>
        <v>2093</v>
      </c>
      <c r="G186" s="12">
        <f>VLOOKUP($D186,'2022Data to Complete Appendix C'!$C$8:$Q$313,3,FALSE)</f>
        <v>1053</v>
      </c>
      <c r="H186" s="12">
        <f>VLOOKUP($D186,'2022Data to Complete Appendix C'!$C$8:$Q$313,4,FALSE)</f>
        <v>0</v>
      </c>
      <c r="I186" s="12">
        <f>VLOOKUP($D186,'2022Data to Complete Appendix C'!$C$8:$Q$313,5,FALSE)</f>
        <v>1383</v>
      </c>
      <c r="J186" s="114">
        <f>VLOOKUP($D186,'2022Data to Complete Appendix C'!$C$8:$Q$313,6,FALSE)</f>
        <v>1.9876499999999999</v>
      </c>
      <c r="K186" s="114">
        <f>VLOOKUP($D186,'2022Data to Complete Appendix C'!$C$8:$Q$313,7,FALSE)</f>
        <v>1.95</v>
      </c>
      <c r="L186" s="114">
        <f>VLOOKUP($D186,'2022Data to Complete Appendix C'!$C$8:$Q$313,8,FALSE)</f>
        <v>1.06446</v>
      </c>
      <c r="M186" s="12">
        <f>VLOOKUP($D186,'2022Data to Complete Appendix C'!$C$8:$Q$313,9,FALSE)</f>
        <v>69.188100000000006</v>
      </c>
      <c r="N186" s="114">
        <f>VLOOKUP($D186,'2022Data to Complete Appendix C'!$C$8:$Q$313,10,FALSE)</f>
        <v>6.16547E-2</v>
      </c>
      <c r="O186" s="115">
        <f>VLOOKUP($D186,'2022Data to Complete Appendix C'!$C$8:$Q$313,11,FALSE)</f>
        <v>0.56699999999999995</v>
      </c>
      <c r="P186" s="115">
        <f>VLOOKUP($D186,'2022Data to Complete Appendix C'!$C$8:$Q$313,12,FALSE)</f>
        <v>0.772675</v>
      </c>
      <c r="Q186" s="115">
        <f>VLOOKUP($D186,'2022Data to Complete Appendix C'!$C$8:$Q$313,13,FALSE)</f>
        <v>0.65200000000000002</v>
      </c>
      <c r="R186" s="114">
        <f>VLOOKUP($D186,'2022Data to Complete Appendix C'!$C$8:$Q$313,14,FALSE)</f>
        <v>2.2999999999999998</v>
      </c>
      <c r="S186" s="115">
        <f>VLOOKUP($D186,'2022Data to Complete Appendix C'!$C$8:$Q$313,15,FALSE)</f>
        <v>-3.0849499999999998E-2</v>
      </c>
      <c r="T186" s="12">
        <f>IFERROR(VLOOKUP($D186,'2022LodgingbyWUP'!$A$1:$D$98,4,FALSE),0)</f>
        <v>1</v>
      </c>
      <c r="U186" s="12">
        <f t="shared" si="3"/>
        <v>1.4996</v>
      </c>
      <c r="V186" s="12">
        <f>IFERROR(VLOOKUP($D186,Total_DU!$B$5:$Z$174,22,0),0)</f>
        <v>500</v>
      </c>
      <c r="W186" s="12">
        <f>IFERROR(VLOOKUP($D186,Total_DU!$B$5:$Z$174,23,0),0)</f>
        <v>500</v>
      </c>
      <c r="X186" s="12">
        <f>IFERROR(VLOOKUP($D186,Total_DU!$B$5:$Z$174,24,0),0)</f>
        <v>500</v>
      </c>
      <c r="Y186" s="12">
        <f>IFERROR(VLOOKUP($D186,Total_DU!$B$5:$Z$174,25,0),0)</f>
        <v>500</v>
      </c>
      <c r="Z186" s="12">
        <f>IFERROR(VLOOKUP($D186,Population!$B$5:$Y$174,21,FALSE),0)</f>
        <v>979</v>
      </c>
      <c r="AA186" s="12">
        <f>IFERROR(VLOOKUP($D186,Population!$B$5:$Y$174,22,FALSE),0)</f>
        <v>979</v>
      </c>
      <c r="AB186" s="12">
        <f>IFERROR(VLOOKUP($D186,Population!$B$5:$Y$174,23,FALSE),0)</f>
        <v>980.47289394425525</v>
      </c>
      <c r="AC186" s="12">
        <f>IFERROR(VLOOKUP($D186,Population!$B$5:$Y$174,24,FALSE),0)</f>
        <v>980</v>
      </c>
    </row>
    <row r="187" spans="1:29" ht="15" x14ac:dyDescent="0.25">
      <c r="A187" s="2" t="s">
        <v>22</v>
      </c>
      <c r="B187" s="2" t="s">
        <v>663</v>
      </c>
      <c r="C187" s="2" t="s">
        <v>486</v>
      </c>
      <c r="D187" s="2">
        <v>7333</v>
      </c>
      <c r="E187" s="11">
        <v>2022</v>
      </c>
      <c r="F187" s="12">
        <f>VLOOKUP($D187,'2022Data to Complete Appendix C'!$C$8:$Q$313,2,FALSE)</f>
        <v>710</v>
      </c>
      <c r="G187" s="12">
        <f>VLOOKUP($D187,'2022Data to Complete Appendix C'!$C$8:$Q$313,3,FALSE)</f>
        <v>243</v>
      </c>
      <c r="H187" s="12">
        <f>VLOOKUP($D187,'2022Data to Complete Appendix C'!$C$8:$Q$313,4,FALSE)</f>
        <v>0</v>
      </c>
      <c r="I187" s="12">
        <f>VLOOKUP($D187,'2022Data to Complete Appendix C'!$C$8:$Q$313,5,FALSE)</f>
        <v>344</v>
      </c>
      <c r="J187" s="114">
        <f>VLOOKUP($D187,'2022Data to Complete Appendix C'!$C$8:$Q$313,6,FALSE)</f>
        <v>2.9218099999999998</v>
      </c>
      <c r="K187" s="114">
        <f>VLOOKUP($D187,'2022Data to Complete Appendix C'!$C$8:$Q$313,7,FALSE)</f>
        <v>1.95</v>
      </c>
      <c r="L187" s="114">
        <f>VLOOKUP($D187,'2022Data to Complete Appendix C'!$C$8:$Q$313,8,FALSE)</f>
        <v>1.1217299999999999</v>
      </c>
      <c r="M187" s="12">
        <f>VLOOKUP($D187,'2022Data to Complete Appendix C'!$C$8:$Q$313,9,FALSE)</f>
        <v>44.321800000000003</v>
      </c>
      <c r="N187" s="114">
        <f>VLOOKUP($D187,'2022Data to Complete Appendix C'!$C$8:$Q$313,10,FALSE)</f>
        <v>0.15425900000000001</v>
      </c>
      <c r="O187" s="115">
        <f>VLOOKUP($D187,'2022Data to Complete Appendix C'!$C$8:$Q$313,11,FALSE)</f>
        <v>0.56699999999999995</v>
      </c>
      <c r="P187" s="115">
        <f>VLOOKUP($D187,'2022Data to Complete Appendix C'!$C$8:$Q$313,12,FALSE)</f>
        <v>0.772675</v>
      </c>
      <c r="Q187" s="115">
        <f>VLOOKUP($D187,'2022Data to Complete Appendix C'!$C$8:$Q$313,13,FALSE)</f>
        <v>0.65200000000000002</v>
      </c>
      <c r="R187" s="114">
        <f>VLOOKUP($D187,'2022Data to Complete Appendix C'!$C$8:$Q$313,14,FALSE)</f>
        <v>2.2999999999999998</v>
      </c>
      <c r="S187" s="115">
        <f>VLOOKUP($D187,'2022Data to Complete Appendix C'!$C$8:$Q$313,15,FALSE)</f>
        <v>-0.65917300000000001</v>
      </c>
      <c r="T187" s="12">
        <f>IFERROR(VLOOKUP($D187,'2022LodgingbyWUP'!$A$1:$D$98,4,FALSE),0)</f>
        <v>0</v>
      </c>
      <c r="U187" s="12">
        <f t="shared" si="3"/>
        <v>0</v>
      </c>
      <c r="V187" s="12">
        <f>IFERROR(VLOOKUP($D187,Total_DU!$B$5:$Z$174,22,0),0)</f>
        <v>0</v>
      </c>
      <c r="W187" s="12">
        <f>IFERROR(VLOOKUP($D187,Total_DU!$B$5:$Z$174,23,0),0)</f>
        <v>0</v>
      </c>
      <c r="X187" s="12">
        <f>IFERROR(VLOOKUP($D187,Total_DU!$B$5:$Z$174,24,0),0)</f>
        <v>0</v>
      </c>
      <c r="Y187" s="12">
        <f>IFERROR(VLOOKUP($D187,Total_DU!$B$5:$Z$174,25,0),0)</f>
        <v>0</v>
      </c>
      <c r="Z187" s="12">
        <f>IFERROR(VLOOKUP($D187,Population!$B$5:$Y$174,21,FALSE),0)</f>
        <v>0</v>
      </c>
      <c r="AA187" s="12">
        <f>IFERROR(VLOOKUP($D187,Population!$B$5:$Y$174,22,FALSE),0)</f>
        <v>0</v>
      </c>
      <c r="AB187" s="12">
        <f>IFERROR(VLOOKUP($D187,Population!$B$5:$Y$174,23,FALSE),0)</f>
        <v>0</v>
      </c>
      <c r="AC187" s="12">
        <f>IFERROR(VLOOKUP($D187,Population!$B$5:$Y$174,24,FALSE),0)</f>
        <v>0</v>
      </c>
    </row>
    <row r="188" spans="1:29" ht="15" x14ac:dyDescent="0.25">
      <c r="A188" s="11" t="s">
        <v>22</v>
      </c>
      <c r="B188" s="11" t="s">
        <v>664</v>
      </c>
      <c r="C188" s="11" t="s">
        <v>488</v>
      </c>
      <c r="D188" s="11">
        <v>7557</v>
      </c>
      <c r="E188" s="11">
        <v>2022</v>
      </c>
      <c r="F188" s="12">
        <f>VLOOKUP($D188,'2022Data to Complete Appendix C'!$C$8:$Q$313,2,FALSE)</f>
        <v>476</v>
      </c>
      <c r="G188" s="12">
        <f>VLOOKUP($D188,'2022Data to Complete Appendix C'!$C$8:$Q$313,3,FALSE)</f>
        <v>248</v>
      </c>
      <c r="H188" s="12">
        <f>VLOOKUP($D188,'2022Data to Complete Appendix C'!$C$8:$Q$313,4,FALSE)</f>
        <v>0</v>
      </c>
      <c r="I188" s="12">
        <f>VLOOKUP($D188,'2022Data to Complete Appendix C'!$C$8:$Q$313,5,FALSE)</f>
        <v>411</v>
      </c>
      <c r="J188" s="114">
        <f>VLOOKUP($D188,'2022Data to Complete Appendix C'!$C$8:$Q$313,6,FALSE)</f>
        <v>1.9193499999999999</v>
      </c>
      <c r="K188" s="114">
        <f>VLOOKUP($D188,'2022Data to Complete Appendix C'!$C$8:$Q$313,7,FALSE)</f>
        <v>1.95</v>
      </c>
      <c r="L188" s="114">
        <f>VLOOKUP($D188,'2022Data to Complete Appendix C'!$C$8:$Q$313,8,FALSE)</f>
        <v>1.2116199999999999</v>
      </c>
      <c r="M188" s="12">
        <f>VLOOKUP($D188,'2022Data to Complete Appendix C'!$C$8:$Q$313,9,FALSE)</f>
        <v>51.657499999999999</v>
      </c>
      <c r="N188" s="114">
        <f>VLOOKUP($D188,'2022Data to Complete Appendix C'!$C$8:$Q$313,10,FALSE)</f>
        <v>0.17238800000000001</v>
      </c>
      <c r="O188" s="115">
        <f>VLOOKUP($D188,'2022Data to Complete Appendix C'!$C$8:$Q$313,11,FALSE)</f>
        <v>0.56699999999999995</v>
      </c>
      <c r="P188" s="115">
        <f>VLOOKUP($D188,'2022Data to Complete Appendix C'!$C$8:$Q$313,12,FALSE)</f>
        <v>0.772675</v>
      </c>
      <c r="Q188" s="115">
        <f>VLOOKUP($D188,'2022Data to Complete Appendix C'!$C$8:$Q$313,13,FALSE)</f>
        <v>0.65200000000000002</v>
      </c>
      <c r="R188" s="114">
        <f>VLOOKUP($D188,'2022Data to Complete Appendix C'!$C$8:$Q$313,14,FALSE)</f>
        <v>2.2999999999999998</v>
      </c>
      <c r="S188" s="115">
        <f>VLOOKUP($D188,'2022Data to Complete Appendix C'!$C$8:$Q$313,15,FALSE)</f>
        <v>-0.12878300000000001</v>
      </c>
      <c r="T188" s="12">
        <f>IFERROR(VLOOKUP($D188,'2022LodgingbyWUP'!$A$1:$D$98,4,FALSE),0)</f>
        <v>0</v>
      </c>
      <c r="U188" s="12">
        <f t="shared" si="3"/>
        <v>0</v>
      </c>
      <c r="V188" s="12">
        <f>IFERROR(VLOOKUP($D188,Total_DU!$B$5:$Z$174,22,0),0)</f>
        <v>0</v>
      </c>
      <c r="W188" s="12">
        <f>IFERROR(VLOOKUP($D188,Total_DU!$B$5:$Z$174,23,0),0)</f>
        <v>0</v>
      </c>
      <c r="X188" s="12">
        <f>IFERROR(VLOOKUP($D188,Total_DU!$B$5:$Z$174,24,0),0)</f>
        <v>0</v>
      </c>
      <c r="Y188" s="12">
        <f>IFERROR(VLOOKUP($D188,Total_DU!$B$5:$Z$174,25,0),0)</f>
        <v>0</v>
      </c>
      <c r="Z188" s="12">
        <f>IFERROR(VLOOKUP($D188,Population!$B$5:$Y$174,21,FALSE),0)</f>
        <v>0</v>
      </c>
      <c r="AA188" s="12">
        <f>IFERROR(VLOOKUP($D188,Population!$B$5:$Y$174,22,FALSE),0)</f>
        <v>0</v>
      </c>
      <c r="AB188" s="12">
        <f>IFERROR(VLOOKUP($D188,Population!$B$5:$Y$174,23,FALSE),0)</f>
        <v>0</v>
      </c>
      <c r="AC188" s="12">
        <f>IFERROR(VLOOKUP($D188,Population!$B$5:$Y$174,24,FALSE),0)</f>
        <v>0</v>
      </c>
    </row>
    <row r="189" spans="1:29" ht="15" x14ac:dyDescent="0.25">
      <c r="A189" s="2" t="s">
        <v>22</v>
      </c>
      <c r="B189" s="2" t="s">
        <v>721</v>
      </c>
      <c r="C189" s="2" t="s">
        <v>483</v>
      </c>
      <c r="D189" s="2">
        <v>7653</v>
      </c>
      <c r="E189" s="11">
        <v>2022</v>
      </c>
      <c r="F189" s="12">
        <f>VLOOKUP($D189,'2022Data to Complete Appendix C'!$C$8:$Q$313,2,FALSE)</f>
        <v>1542</v>
      </c>
      <c r="G189" s="12">
        <f>VLOOKUP($D189,'2022Data to Complete Appendix C'!$C$8:$Q$313,3,FALSE)</f>
        <v>543</v>
      </c>
      <c r="H189" s="12">
        <f>VLOOKUP($D189,'2022Data to Complete Appendix C'!$C$8:$Q$313,4,FALSE)</f>
        <v>0</v>
      </c>
      <c r="I189" s="12">
        <f>VLOOKUP($D189,'2022Data to Complete Appendix C'!$C$8:$Q$313,5,FALSE)</f>
        <v>588</v>
      </c>
      <c r="J189" s="114">
        <f>VLOOKUP($D189,'2022Data to Complete Appendix C'!$C$8:$Q$313,6,FALSE)</f>
        <v>2.8397800000000002</v>
      </c>
      <c r="K189" s="114">
        <f>VLOOKUP($D189,'2022Data to Complete Appendix C'!$C$8:$Q$313,7,FALSE)</f>
        <v>1.95</v>
      </c>
      <c r="L189" s="114">
        <f>VLOOKUP($D189,'2022Data to Complete Appendix C'!$C$8:$Q$313,8,FALSE)</f>
        <v>1.02294</v>
      </c>
      <c r="M189" s="12">
        <f>VLOOKUP($D189,'2022Data to Complete Appendix C'!$C$8:$Q$313,9,FALSE)</f>
        <v>18.1434</v>
      </c>
      <c r="N189" s="114">
        <f>VLOOKUP($D189,'2022Data to Complete Appendix C'!$C$8:$Q$313,10,FALSE)</f>
        <v>3.2332899999999998E-2</v>
      </c>
      <c r="O189" s="115">
        <f>VLOOKUP($D189,'2022Data to Complete Appendix C'!$C$8:$Q$313,11,FALSE)</f>
        <v>0.56699999999999995</v>
      </c>
      <c r="P189" s="115">
        <f>VLOOKUP($D189,'2022Data to Complete Appendix C'!$C$8:$Q$313,12,FALSE)</f>
        <v>0.772675</v>
      </c>
      <c r="Q189" s="115">
        <f>VLOOKUP($D189,'2022Data to Complete Appendix C'!$C$8:$Q$313,13,FALSE)</f>
        <v>0.65200000000000002</v>
      </c>
      <c r="R189" s="114">
        <f>VLOOKUP($D189,'2022Data to Complete Appendix C'!$C$8:$Q$313,14,FALSE)</f>
        <v>2.2999999999999998</v>
      </c>
      <c r="S189" s="115">
        <f>VLOOKUP($D189,'2022Data to Complete Appendix C'!$C$8:$Q$313,15,FALSE)</f>
        <v>-0.45805499999999999</v>
      </c>
      <c r="T189" s="12">
        <f>IFERROR(VLOOKUP($D189,'2022LodgingbyWUP'!$A$1:$D$98,4,FALSE),0)</f>
        <v>0</v>
      </c>
      <c r="U189" s="12">
        <f t="shared" si="3"/>
        <v>0</v>
      </c>
      <c r="V189" s="12">
        <f>IFERROR(VLOOKUP($D189,Total_DU!$B$5:$Z$174,22,0),0)</f>
        <v>0</v>
      </c>
      <c r="W189" s="12">
        <f>IFERROR(VLOOKUP($D189,Total_DU!$B$5:$Z$174,23,0),0)</f>
        <v>0</v>
      </c>
      <c r="X189" s="12">
        <f>IFERROR(VLOOKUP($D189,Total_DU!$B$5:$Z$174,24,0),0)</f>
        <v>0</v>
      </c>
      <c r="Y189" s="12">
        <f>IFERROR(VLOOKUP($D189,Total_DU!$B$5:$Z$174,25,0),0)</f>
        <v>0</v>
      </c>
      <c r="Z189" s="12">
        <f>IFERROR(VLOOKUP($D189,Population!$B$5:$Y$174,21,FALSE),0)</f>
        <v>0</v>
      </c>
      <c r="AA189" s="12">
        <f>IFERROR(VLOOKUP($D189,Population!$B$5:$Y$174,22,FALSE),0)</f>
        <v>0</v>
      </c>
      <c r="AB189" s="12">
        <f>IFERROR(VLOOKUP($D189,Population!$B$5:$Y$174,23,FALSE),0)</f>
        <v>0</v>
      </c>
      <c r="AC189" s="12">
        <f>IFERROR(VLOOKUP($D189,Population!$B$5:$Y$174,24,FALSE),0)</f>
        <v>0</v>
      </c>
    </row>
    <row r="190" spans="1:29" ht="15" x14ac:dyDescent="0.25">
      <c r="A190" s="11" t="s">
        <v>22</v>
      </c>
      <c r="B190" s="11" t="s">
        <v>722</v>
      </c>
      <c r="C190" s="11" t="s">
        <v>483</v>
      </c>
      <c r="D190" s="11">
        <v>7878</v>
      </c>
      <c r="E190" s="11">
        <v>2022</v>
      </c>
      <c r="F190" s="12">
        <f>VLOOKUP($D190,'2022Data to Complete Appendix C'!$C$8:$Q$313,2,FALSE)</f>
        <v>3204</v>
      </c>
      <c r="G190" s="12">
        <f>VLOOKUP($D190,'2022Data to Complete Appendix C'!$C$8:$Q$313,3,FALSE)</f>
        <v>1157</v>
      </c>
      <c r="H190" s="12">
        <f>VLOOKUP($D190,'2022Data to Complete Appendix C'!$C$8:$Q$313,4,FALSE)</f>
        <v>3</v>
      </c>
      <c r="I190" s="12">
        <f>VLOOKUP($D190,'2022Data to Complete Appendix C'!$C$8:$Q$313,5,FALSE)</f>
        <v>1276</v>
      </c>
      <c r="J190" s="114">
        <f>VLOOKUP($D190,'2022Data to Complete Appendix C'!$C$8:$Q$313,6,FALSE)</f>
        <v>2.7692299999999999</v>
      </c>
      <c r="K190" s="114">
        <f>VLOOKUP($D190,'2022Data to Complete Appendix C'!$C$8:$Q$313,7,FALSE)</f>
        <v>1.95</v>
      </c>
      <c r="L190" s="114">
        <f>VLOOKUP($D190,'2022Data to Complete Appendix C'!$C$8:$Q$313,8,FALSE)</f>
        <v>1.06823</v>
      </c>
      <c r="M190" s="12">
        <f>VLOOKUP($D190,'2022Data to Complete Appendix C'!$C$8:$Q$313,9,FALSE)</f>
        <v>112.101</v>
      </c>
      <c r="N190" s="114">
        <f>VLOOKUP($D190,'2022Data to Complete Appendix C'!$C$8:$Q$313,10,FALSE)</f>
        <v>8.8330699999999998E-2</v>
      </c>
      <c r="O190" s="115">
        <f>VLOOKUP($D190,'2022Data to Complete Appendix C'!$C$8:$Q$313,11,FALSE)</f>
        <v>0.56699999999999995</v>
      </c>
      <c r="P190" s="115">
        <f>VLOOKUP($D190,'2022Data to Complete Appendix C'!$C$8:$Q$313,12,FALSE)</f>
        <v>0.772675</v>
      </c>
      <c r="Q190" s="115">
        <f>VLOOKUP($D190,'2022Data to Complete Appendix C'!$C$8:$Q$313,13,FALSE)</f>
        <v>0.65200000000000002</v>
      </c>
      <c r="R190" s="114">
        <f>VLOOKUP($D190,'2022Data to Complete Appendix C'!$C$8:$Q$313,14,FALSE)</f>
        <v>2.2999999999999998</v>
      </c>
      <c r="S190" s="115">
        <f>VLOOKUP($D190,'2022Data to Complete Appendix C'!$C$8:$Q$313,15,FALSE)</f>
        <v>-0.43560700000000002</v>
      </c>
      <c r="T190" s="12">
        <f>IFERROR(VLOOKUP($D190,'2022LodgingbyWUP'!$A$1:$D$98,4,FALSE),0)</f>
        <v>0</v>
      </c>
      <c r="U190" s="12">
        <f t="shared" si="3"/>
        <v>0</v>
      </c>
      <c r="V190" s="12">
        <f>IFERROR(VLOOKUP($D190,Total_DU!$B$5:$Z$174,22,0),0)</f>
        <v>847</v>
      </c>
      <c r="W190" s="12">
        <f>IFERROR(VLOOKUP($D190,Total_DU!$B$5:$Z$174,23,0),0)</f>
        <v>847</v>
      </c>
      <c r="X190" s="12">
        <f>IFERROR(VLOOKUP($D190,Total_DU!$B$5:$Z$174,24,0),0)</f>
        <v>847</v>
      </c>
      <c r="Y190" s="12">
        <f>IFERROR(VLOOKUP($D190,Total_DU!$B$5:$Z$174,25,0),0)</f>
        <v>857</v>
      </c>
      <c r="Z190" s="12">
        <f>IFERROR(VLOOKUP($D190,Population!$B$5:$Y$174,21,FALSE),0)</f>
        <v>2253.0682324763511</v>
      </c>
      <c r="AA190" s="12">
        <f>IFERROR(VLOOKUP($D190,Population!$B$5:$Y$174,22,FALSE),0)</f>
        <v>2253.0678344536072</v>
      </c>
      <c r="AB190" s="12">
        <f>IFERROR(VLOOKUP($D190,Population!$B$5:$Y$174,23,FALSE),0)</f>
        <v>2253.0678275462892</v>
      </c>
      <c r="AC190" s="12">
        <f>IFERROR(VLOOKUP($D190,Population!$B$5:$Y$174,24,FALSE),0)</f>
        <v>2280</v>
      </c>
    </row>
    <row r="191" spans="1:29" ht="15" x14ac:dyDescent="0.25">
      <c r="A191" s="2" t="s">
        <v>22</v>
      </c>
      <c r="B191" s="2" t="s">
        <v>665</v>
      </c>
      <c r="C191" s="2" t="s">
        <v>142</v>
      </c>
      <c r="D191" s="2">
        <v>8054</v>
      </c>
      <c r="E191" s="11">
        <v>2022</v>
      </c>
      <c r="F191" s="12">
        <f>VLOOKUP($D191,'2022Data to Complete Appendix C'!$C$8:$Q$313,2,FALSE)</f>
        <v>9088</v>
      </c>
      <c r="G191" s="12">
        <f>VLOOKUP($D191,'2022Data to Complete Appendix C'!$C$8:$Q$313,3,FALSE)</f>
        <v>3576</v>
      </c>
      <c r="H191" s="12">
        <f>VLOOKUP($D191,'2022Data to Complete Appendix C'!$C$8:$Q$313,4,FALSE)</f>
        <v>57</v>
      </c>
      <c r="I191" s="12">
        <f>VLOOKUP($D191,'2022Data to Complete Appendix C'!$C$8:$Q$313,5,FALSE)</f>
        <v>5134</v>
      </c>
      <c r="J191" s="114">
        <f>VLOOKUP($D191,'2022Data to Complete Appendix C'!$C$8:$Q$313,6,FALSE)</f>
        <v>2.5413899999999998</v>
      </c>
      <c r="K191" s="114">
        <f>VLOOKUP($D191,'2022Data to Complete Appendix C'!$C$8:$Q$313,7,FALSE)</f>
        <v>1.95</v>
      </c>
      <c r="L191" s="114">
        <f>VLOOKUP($D191,'2022Data to Complete Appendix C'!$C$8:$Q$313,8,FALSE)</f>
        <v>1</v>
      </c>
      <c r="M191" s="12">
        <f>VLOOKUP($D191,'2022Data to Complete Appendix C'!$C$8:$Q$313,9,FALSE)</f>
        <v>0</v>
      </c>
      <c r="N191" s="114">
        <f>VLOOKUP($D191,'2022Data to Complete Appendix C'!$C$8:$Q$313,10,FALSE)</f>
        <v>0</v>
      </c>
      <c r="O191" s="115">
        <f>VLOOKUP($D191,'2022Data to Complete Appendix C'!$C$8:$Q$313,11,FALSE)</f>
        <v>0.56699999999999995</v>
      </c>
      <c r="P191" s="115">
        <f>VLOOKUP($D191,'2022Data to Complete Appendix C'!$C$8:$Q$313,12,FALSE)</f>
        <v>0.772675</v>
      </c>
      <c r="Q191" s="115">
        <f>VLOOKUP($D191,'2022Data to Complete Appendix C'!$C$8:$Q$313,13,FALSE)</f>
        <v>0.65200000000000002</v>
      </c>
      <c r="R191" s="114">
        <f>VLOOKUP($D191,'2022Data to Complete Appendix C'!$C$8:$Q$313,14,FALSE)</f>
        <v>2.2999999999999998</v>
      </c>
      <c r="S191" s="115">
        <f>VLOOKUP($D191,'2022Data to Complete Appendix C'!$C$8:$Q$313,15,FALSE)</f>
        <v>-0.38777800000000001</v>
      </c>
      <c r="T191" s="12">
        <f>IFERROR(VLOOKUP($D191,'2022LodgingbyWUP'!$A$1:$D$98,4,FALSE),0)</f>
        <v>61</v>
      </c>
      <c r="U191" s="12">
        <f t="shared" ref="U191:U230" si="5">IF(T191&gt;0,T191*Q191*R191,0)</f>
        <v>91.475599999999986</v>
      </c>
      <c r="V191" s="12">
        <f>IFERROR(VLOOKUP($D191,Total_DU!$B$5:$Z$174,22,0),0)</f>
        <v>2528</v>
      </c>
      <c r="W191" s="12">
        <f>IFERROR(VLOOKUP($D191,Total_DU!$B$5:$Z$174,23,0),0)</f>
        <v>2532</v>
      </c>
      <c r="X191" s="12">
        <f>IFERROR(VLOOKUP($D191,Total_DU!$B$5:$Z$174,24,0),0)</f>
        <v>2541</v>
      </c>
      <c r="Y191" s="12">
        <f>IFERROR(VLOOKUP($D191,Total_DU!$B$5:$Z$174,25,0),0)</f>
        <v>2559</v>
      </c>
      <c r="Z191" s="12">
        <f>IFERROR(VLOOKUP($D191,Population!$B$5:$Y$174,21,FALSE),0)</f>
        <v>6616.6716893851572</v>
      </c>
      <c r="AA191" s="12">
        <f>IFERROR(VLOOKUP($D191,Population!$B$5:$Y$174,22,FALSE),0)</f>
        <v>6626.8328203872179</v>
      </c>
      <c r="AB191" s="12">
        <f>IFERROR(VLOOKUP($D191,Population!$B$5:$Y$174,23,FALSE),0)</f>
        <v>6650.9234185435644</v>
      </c>
      <c r="AC191" s="12">
        <f>IFERROR(VLOOKUP($D191,Population!$B$5:$Y$174,24,FALSE),0)</f>
        <v>6659</v>
      </c>
    </row>
    <row r="192" spans="1:29" ht="15" x14ac:dyDescent="0.25">
      <c r="A192" s="11" t="s">
        <v>22</v>
      </c>
      <c r="B192" s="11" t="s">
        <v>666</v>
      </c>
      <c r="C192" s="11" t="s">
        <v>130</v>
      </c>
      <c r="D192" s="11">
        <v>8285</v>
      </c>
      <c r="E192" s="11">
        <v>2022</v>
      </c>
      <c r="F192" s="12">
        <f>VLOOKUP($D192,'2022Data to Complete Appendix C'!$C$8:$Q$313,2,FALSE)</f>
        <v>133</v>
      </c>
      <c r="G192" s="12">
        <f>VLOOKUP($D192,'2022Data to Complete Appendix C'!$C$8:$Q$313,3,FALSE)</f>
        <v>85</v>
      </c>
      <c r="H192" s="12">
        <f>VLOOKUP($D192,'2022Data to Complete Appendix C'!$C$8:$Q$313,4,FALSE)</f>
        <v>0</v>
      </c>
      <c r="I192" s="12">
        <f>VLOOKUP($D192,'2022Data to Complete Appendix C'!$C$8:$Q$313,5,FALSE)</f>
        <v>102</v>
      </c>
      <c r="J192" s="114">
        <f>VLOOKUP($D192,'2022Data to Complete Appendix C'!$C$8:$Q$313,6,FALSE)</f>
        <v>1.56471</v>
      </c>
      <c r="K192" s="114">
        <f>VLOOKUP($D192,'2022Data to Complete Appendix C'!$C$8:$Q$313,7,FALSE)</f>
        <v>1.95</v>
      </c>
      <c r="L192" s="114">
        <f>VLOOKUP($D192,'2022Data to Complete Appendix C'!$C$8:$Q$313,8,FALSE)</f>
        <v>1.1217299999999999</v>
      </c>
      <c r="M192" s="12">
        <f>VLOOKUP($D192,'2022Data to Complete Appendix C'!$C$8:$Q$313,9,FALSE)</f>
        <v>8.3025400000000005</v>
      </c>
      <c r="N192" s="114">
        <f>VLOOKUP($D192,'2022Data to Complete Appendix C'!$C$8:$Q$313,10,FALSE)</f>
        <v>8.89852E-2</v>
      </c>
      <c r="O192" s="115">
        <f>VLOOKUP($D192,'2022Data to Complete Appendix C'!$C$8:$Q$313,11,FALSE)</f>
        <v>0.56699999999999995</v>
      </c>
      <c r="P192" s="115">
        <f>VLOOKUP($D192,'2022Data to Complete Appendix C'!$C$8:$Q$313,12,FALSE)</f>
        <v>0.772675</v>
      </c>
      <c r="Q192" s="115">
        <f>VLOOKUP($D192,'2022Data to Complete Appendix C'!$C$8:$Q$313,13,FALSE)</f>
        <v>0.65200000000000002</v>
      </c>
      <c r="R192" s="114">
        <f>VLOOKUP($D192,'2022Data to Complete Appendix C'!$C$8:$Q$313,14,FALSE)</f>
        <v>2.2999999999999998</v>
      </c>
      <c r="S192" s="115">
        <f>VLOOKUP($D192,'2022Data to Complete Appendix C'!$C$8:$Q$313,15,FALSE)</f>
        <v>-0.65917300000000001</v>
      </c>
      <c r="T192" s="12">
        <f>IFERROR(VLOOKUP($D192,'2022LodgingbyWUP'!$A$1:$D$98,4,FALSE),0)</f>
        <v>0</v>
      </c>
      <c r="U192" s="12">
        <f t="shared" si="5"/>
        <v>0</v>
      </c>
      <c r="V192" s="12">
        <f>IFERROR(VLOOKUP($D192,Total_DU!$B$5:$Z$174,22,0),0)</f>
        <v>0</v>
      </c>
      <c r="W192" s="12">
        <f>IFERROR(VLOOKUP($D192,Total_DU!$B$5:$Z$174,23,0),0)</f>
        <v>0</v>
      </c>
      <c r="X192" s="12">
        <f>IFERROR(VLOOKUP($D192,Total_DU!$B$5:$Z$174,24,0),0)</f>
        <v>0</v>
      </c>
      <c r="Y192" s="12">
        <f>IFERROR(VLOOKUP($D192,Total_DU!$B$5:$Z$174,25,0),0)</f>
        <v>0</v>
      </c>
      <c r="Z192" s="12">
        <f>IFERROR(VLOOKUP($D192,Population!$B$5:$Y$174,21,FALSE),0)</f>
        <v>0</v>
      </c>
      <c r="AA192" s="12">
        <f>IFERROR(VLOOKUP($D192,Population!$B$5:$Y$174,22,FALSE),0)</f>
        <v>0</v>
      </c>
      <c r="AB192" s="12">
        <f>IFERROR(VLOOKUP($D192,Population!$B$5:$Y$174,23,FALSE),0)</f>
        <v>0</v>
      </c>
      <c r="AC192" s="12">
        <f>IFERROR(VLOOKUP($D192,Population!$B$5:$Y$174,24,FALSE),0)</f>
        <v>0</v>
      </c>
    </row>
    <row r="193" spans="1:29" ht="15" x14ac:dyDescent="0.25">
      <c r="A193" s="2" t="s">
        <v>22</v>
      </c>
      <c r="B193" s="2" t="s">
        <v>667</v>
      </c>
      <c r="C193" s="2" t="s">
        <v>147</v>
      </c>
      <c r="D193" s="2">
        <v>8344</v>
      </c>
      <c r="E193" s="11">
        <v>2022</v>
      </c>
      <c r="F193" s="12">
        <f>VLOOKUP($D193,'2022Data to Complete Appendix C'!$C$8:$Q$313,2,FALSE)</f>
        <v>1098</v>
      </c>
      <c r="G193" s="12">
        <f>VLOOKUP($D193,'2022Data to Complete Appendix C'!$C$8:$Q$313,3,FALSE)</f>
        <v>551</v>
      </c>
      <c r="H193" s="12">
        <f>VLOOKUP($D193,'2022Data to Complete Appendix C'!$C$8:$Q$313,4,FALSE)</f>
        <v>0</v>
      </c>
      <c r="I193" s="12">
        <f>VLOOKUP($D193,'2022Data to Complete Appendix C'!$C$8:$Q$313,5,FALSE)</f>
        <v>780</v>
      </c>
      <c r="J193" s="114">
        <f>VLOOKUP($D193,'2022Data to Complete Appendix C'!$C$8:$Q$313,6,FALSE)</f>
        <v>1.99274</v>
      </c>
      <c r="K193" s="114">
        <f>VLOOKUP($D193,'2022Data to Complete Appendix C'!$C$8:$Q$313,7,FALSE)</f>
        <v>1.95</v>
      </c>
      <c r="L193" s="114">
        <f>VLOOKUP($D193,'2022Data to Complete Appendix C'!$C$8:$Q$313,8,FALSE)</f>
        <v>1.1467499999999999</v>
      </c>
      <c r="M193" s="12">
        <f>VLOOKUP($D193,'2022Data to Complete Appendix C'!$C$8:$Q$313,9,FALSE)</f>
        <v>82.629900000000006</v>
      </c>
      <c r="N193" s="114">
        <f>VLOOKUP($D193,'2022Data to Complete Appendix C'!$C$8:$Q$313,10,FALSE)</f>
        <v>0.130407</v>
      </c>
      <c r="O193" s="115">
        <f>VLOOKUP($D193,'2022Data to Complete Appendix C'!$C$8:$Q$313,11,FALSE)</f>
        <v>0.56699999999999995</v>
      </c>
      <c r="P193" s="115">
        <f>VLOOKUP($D193,'2022Data to Complete Appendix C'!$C$8:$Q$313,12,FALSE)</f>
        <v>0.772675</v>
      </c>
      <c r="Q193" s="115">
        <f>VLOOKUP($D193,'2022Data to Complete Appendix C'!$C$8:$Q$313,13,FALSE)</f>
        <v>0.65200000000000002</v>
      </c>
      <c r="R193" s="114">
        <f>VLOOKUP($D193,'2022Data to Complete Appendix C'!$C$8:$Q$313,14,FALSE)</f>
        <v>2.2999999999999998</v>
      </c>
      <c r="S193" s="115">
        <f>VLOOKUP($D193,'2022Data to Complete Appendix C'!$C$8:$Q$313,15,FALSE)</f>
        <v>0.10958900000000001</v>
      </c>
      <c r="T193" s="12">
        <f>IFERROR(VLOOKUP($D193,'2022LodgingbyWUP'!$A$1:$D$98,4,FALSE),0)</f>
        <v>0</v>
      </c>
      <c r="U193" s="12">
        <f t="shared" si="5"/>
        <v>0</v>
      </c>
      <c r="V193" s="12">
        <f>IFERROR(VLOOKUP($D193,Total_DU!$B$5:$Z$174,22,0),0)</f>
        <v>705</v>
      </c>
      <c r="W193" s="12">
        <f>IFERROR(VLOOKUP($D193,Total_DU!$B$5:$Z$174,23,0),0)</f>
        <v>705</v>
      </c>
      <c r="X193" s="12">
        <f>IFERROR(VLOOKUP($D193,Total_DU!$B$5:$Z$174,24,0),0)</f>
        <v>705</v>
      </c>
      <c r="Y193" s="12">
        <f>IFERROR(VLOOKUP($D193,Total_DU!$B$5:$Z$174,25,0),0)</f>
        <v>705</v>
      </c>
      <c r="Z193" s="12">
        <f>IFERROR(VLOOKUP($D193,Population!$B$5:$Y$174,21,FALSE),0)</f>
        <v>1378.5927772228774</v>
      </c>
      <c r="AA193" s="12">
        <f>IFERROR(VLOOKUP($D193,Population!$B$5:$Y$174,22,FALSE),0)</f>
        <v>1378.5927772228774</v>
      </c>
      <c r="AB193" s="12">
        <f>IFERROR(VLOOKUP($D193,Population!$B$5:$Y$174,23,FALSE),0)</f>
        <v>1378.5927978372258</v>
      </c>
      <c r="AC193" s="12">
        <f>IFERROR(VLOOKUP($D193,Population!$B$5:$Y$174,24,FALSE),0)</f>
        <v>1379</v>
      </c>
    </row>
    <row r="194" spans="1:29" ht="15" x14ac:dyDescent="0.25">
      <c r="A194" s="11" t="s">
        <v>22</v>
      </c>
      <c r="B194" s="11" t="s">
        <v>668</v>
      </c>
      <c r="C194" s="11" t="s">
        <v>163</v>
      </c>
      <c r="D194" s="11">
        <v>8399</v>
      </c>
      <c r="E194" s="11">
        <v>2022</v>
      </c>
      <c r="F194" s="12">
        <f>VLOOKUP($D194,'2022Data to Complete Appendix C'!$C$8:$Q$313,2,FALSE)</f>
        <v>1166</v>
      </c>
      <c r="G194" s="12">
        <f>VLOOKUP($D194,'2022Data to Complete Appendix C'!$C$8:$Q$313,3,FALSE)</f>
        <v>430</v>
      </c>
      <c r="H194" s="12">
        <f>VLOOKUP($D194,'2022Data to Complete Appendix C'!$C$8:$Q$313,4,FALSE)</f>
        <v>0</v>
      </c>
      <c r="I194" s="12">
        <f>VLOOKUP($D194,'2022Data to Complete Appendix C'!$C$8:$Q$313,5,FALSE)</f>
        <v>833</v>
      </c>
      <c r="J194" s="114">
        <f>VLOOKUP($D194,'2022Data to Complete Appendix C'!$C$8:$Q$313,6,FALSE)</f>
        <v>2.71163</v>
      </c>
      <c r="K194" s="114">
        <f>VLOOKUP($D194,'2022Data to Complete Appendix C'!$C$8:$Q$313,7,FALSE)</f>
        <v>1.95</v>
      </c>
      <c r="L194" s="114">
        <f>VLOOKUP($D194,'2022Data to Complete Appendix C'!$C$8:$Q$313,8,FALSE)</f>
        <v>1.22095</v>
      </c>
      <c r="M194" s="12">
        <f>VLOOKUP($D194,'2022Data to Complete Appendix C'!$C$8:$Q$313,9,FALSE)</f>
        <v>132.119</v>
      </c>
      <c r="N194" s="114">
        <f>VLOOKUP($D194,'2022Data to Complete Appendix C'!$C$8:$Q$313,10,FALSE)</f>
        <v>0.235037</v>
      </c>
      <c r="O194" s="115">
        <f>VLOOKUP($D194,'2022Data to Complete Appendix C'!$C$8:$Q$313,11,FALSE)</f>
        <v>0.56699999999999995</v>
      </c>
      <c r="P194" s="115">
        <f>VLOOKUP($D194,'2022Data to Complete Appendix C'!$C$8:$Q$313,12,FALSE)</f>
        <v>0.772675</v>
      </c>
      <c r="Q194" s="115">
        <f>VLOOKUP($D194,'2022Data to Complete Appendix C'!$C$8:$Q$313,13,FALSE)</f>
        <v>0.65200000000000002</v>
      </c>
      <c r="R194" s="114">
        <f>VLOOKUP($D194,'2022Data to Complete Appendix C'!$C$8:$Q$313,14,FALSE)</f>
        <v>2.2999999999999998</v>
      </c>
      <c r="S194" s="115">
        <f>VLOOKUP($D194,'2022Data to Complete Appendix C'!$C$8:$Q$313,15,FALSE)</f>
        <v>0.43300899999999998</v>
      </c>
      <c r="T194" s="12">
        <f>IFERROR(VLOOKUP($D194,'2022LodgingbyWUP'!$A$1:$D$98,4,FALSE),0)</f>
        <v>0</v>
      </c>
      <c r="U194" s="12">
        <f t="shared" si="5"/>
        <v>0</v>
      </c>
      <c r="V194" s="12">
        <f>IFERROR(VLOOKUP($D194,Total_DU!$B$5:$Z$174,22,0),0)</f>
        <v>0</v>
      </c>
      <c r="W194" s="12">
        <f>IFERROR(VLOOKUP($D194,Total_DU!$B$5:$Z$174,23,0),0)</f>
        <v>0</v>
      </c>
      <c r="X194" s="12">
        <f>IFERROR(VLOOKUP($D194,Total_DU!$B$5:$Z$174,24,0),0)</f>
        <v>0</v>
      </c>
      <c r="Y194" s="12">
        <f>IFERROR(VLOOKUP($D194,Total_DU!$B$5:$Z$174,25,0),0)</f>
        <v>0</v>
      </c>
      <c r="Z194" s="12">
        <f>IFERROR(VLOOKUP($D194,Population!$B$5:$Y$174,21,FALSE),0)</f>
        <v>0</v>
      </c>
      <c r="AA194" s="12">
        <f>IFERROR(VLOOKUP($D194,Population!$B$5:$Y$174,22,FALSE),0)</f>
        <v>0</v>
      </c>
      <c r="AB194" s="12">
        <f>IFERROR(VLOOKUP($D194,Population!$B$5:$Y$174,23,FALSE),0)</f>
        <v>0</v>
      </c>
      <c r="AC194" s="12">
        <f>IFERROR(VLOOKUP($D194,Population!$B$5:$Y$174,24,FALSE),0)</f>
        <v>0</v>
      </c>
    </row>
    <row r="195" spans="1:29" ht="15" x14ac:dyDescent="0.25">
      <c r="A195" s="2" t="s">
        <v>22</v>
      </c>
      <c r="B195" s="2" t="s">
        <v>669</v>
      </c>
      <c r="C195" s="2" t="s">
        <v>35</v>
      </c>
      <c r="D195" s="2">
        <v>8468</v>
      </c>
      <c r="E195" s="11">
        <v>2022</v>
      </c>
      <c r="F195" s="12">
        <f>VLOOKUP($D195,'2022Data to Complete Appendix C'!$C$8:$Q$313,2,FALSE)</f>
        <v>8227</v>
      </c>
      <c r="G195" s="12">
        <f>VLOOKUP($D195,'2022Data to Complete Appendix C'!$C$8:$Q$313,3,FALSE)</f>
        <v>3077</v>
      </c>
      <c r="H195" s="12">
        <f>VLOOKUP($D195,'2022Data to Complete Appendix C'!$C$8:$Q$313,4,FALSE)</f>
        <v>1847</v>
      </c>
      <c r="I195" s="12">
        <f>VLOOKUP($D195,'2022Data to Complete Appendix C'!$C$8:$Q$313,5,FALSE)</f>
        <v>3574</v>
      </c>
      <c r="J195" s="114">
        <f>VLOOKUP($D195,'2022Data to Complete Appendix C'!$C$8:$Q$313,6,FALSE)</f>
        <v>2.6737099999999998</v>
      </c>
      <c r="K195" s="114">
        <f>VLOOKUP($D195,'2022Data to Complete Appendix C'!$C$8:$Q$313,7,FALSE)</f>
        <v>1.95</v>
      </c>
      <c r="L195" s="114">
        <f>VLOOKUP($D195,'2022Data to Complete Appendix C'!$C$8:$Q$313,8,FALSE)</f>
        <v>1.12503</v>
      </c>
      <c r="M195" s="12">
        <f>VLOOKUP($D195,'2022Data to Complete Appendix C'!$C$8:$Q$313,9,FALSE)</f>
        <v>527.49</v>
      </c>
      <c r="N195" s="114">
        <f>VLOOKUP($D195,'2022Data to Complete Appendix C'!$C$8:$Q$313,10,FALSE)</f>
        <v>0.146342</v>
      </c>
      <c r="O195" s="115">
        <f>VLOOKUP($D195,'2022Data to Complete Appendix C'!$C$8:$Q$313,11,FALSE)</f>
        <v>0.56699999999999995</v>
      </c>
      <c r="P195" s="115">
        <f>VLOOKUP($D195,'2022Data to Complete Appendix C'!$C$8:$Q$313,12,FALSE)</f>
        <v>0.772675</v>
      </c>
      <c r="Q195" s="115">
        <f>VLOOKUP($D195,'2022Data to Complete Appendix C'!$C$8:$Q$313,13,FALSE)</f>
        <v>0.65200000000000002</v>
      </c>
      <c r="R195" s="114">
        <f>VLOOKUP($D195,'2022Data to Complete Appendix C'!$C$8:$Q$313,14,FALSE)</f>
        <v>2.2999999999999998</v>
      </c>
      <c r="S195" s="115">
        <f>VLOOKUP($D195,'2022Data to Complete Appendix C'!$C$8:$Q$313,15,FALSE)</f>
        <v>-0.19209999999999999</v>
      </c>
      <c r="T195" s="12">
        <f>IFERROR(VLOOKUP($D195,'2022LodgingbyWUP'!$A$1:$D$98,4,FALSE),0)</f>
        <v>2</v>
      </c>
      <c r="U195" s="12">
        <f t="shared" si="5"/>
        <v>2.9992000000000001</v>
      </c>
      <c r="V195" s="12">
        <f>IFERROR(VLOOKUP($D195,Total_DU!$B$5:$Z$174,22,0),0)</f>
        <v>2376</v>
      </c>
      <c r="W195" s="12">
        <f>IFERROR(VLOOKUP($D195,Total_DU!$B$5:$Z$174,23,0),0)</f>
        <v>2467</v>
      </c>
      <c r="X195" s="12">
        <f>IFERROR(VLOOKUP($D195,Total_DU!$B$5:$Z$174,24,0),0)</f>
        <v>2522</v>
      </c>
      <c r="Y195" s="12">
        <f>IFERROR(VLOOKUP($D195,Total_DU!$B$5:$Z$174,25,0),0)</f>
        <v>2569</v>
      </c>
      <c r="Z195" s="12">
        <f>IFERROR(VLOOKUP($D195,Population!$B$5:$Y$174,21,FALSE),0)</f>
        <v>7176.3181826652308</v>
      </c>
      <c r="AA195" s="12">
        <f>IFERROR(VLOOKUP($D195,Population!$B$5:$Y$174,22,FALSE),0)</f>
        <v>7449.635172486599</v>
      </c>
      <c r="AB195" s="12">
        <f>IFERROR(VLOOKUP($D195,Population!$B$5:$Y$174,23,FALSE),0)</f>
        <v>7615.7194602017571</v>
      </c>
      <c r="AC195" s="12">
        <f>IFERROR(VLOOKUP($D195,Population!$B$5:$Y$174,24,FALSE),0)</f>
        <v>7758</v>
      </c>
    </row>
    <row r="196" spans="1:29" ht="15" x14ac:dyDescent="0.25">
      <c r="A196" s="11" t="s">
        <v>22</v>
      </c>
      <c r="B196" s="11" t="s">
        <v>670</v>
      </c>
      <c r="C196" s="11" t="s">
        <v>72</v>
      </c>
      <c r="D196" s="11">
        <v>8522</v>
      </c>
      <c r="E196" s="11">
        <v>2022</v>
      </c>
      <c r="F196" s="12">
        <f>VLOOKUP($D196,'2022Data to Complete Appendix C'!$C$8:$Q$313,2,FALSE)</f>
        <v>33142</v>
      </c>
      <c r="G196" s="12">
        <f>VLOOKUP($D196,'2022Data to Complete Appendix C'!$C$8:$Q$313,3,FALSE)</f>
        <v>11552</v>
      </c>
      <c r="H196" s="12">
        <f>VLOOKUP($D196,'2022Data to Complete Appendix C'!$C$8:$Q$313,4,FALSE)</f>
        <v>192</v>
      </c>
      <c r="I196" s="12">
        <f>VLOOKUP($D196,'2022Data to Complete Appendix C'!$C$8:$Q$313,5,FALSE)</f>
        <v>15282</v>
      </c>
      <c r="J196" s="114">
        <f>VLOOKUP($D196,'2022Data to Complete Appendix C'!$C$8:$Q$313,6,FALSE)</f>
        <v>2.8689399999999998</v>
      </c>
      <c r="K196" s="114">
        <f>VLOOKUP($D196,'2022Data to Complete Appendix C'!$C$8:$Q$313,7,FALSE)</f>
        <v>1.95</v>
      </c>
      <c r="L196" s="114">
        <f>VLOOKUP($D196,'2022Data to Complete Appendix C'!$C$8:$Q$313,8,FALSE)</f>
        <v>1.1256200000000001</v>
      </c>
      <c r="M196" s="12">
        <f>VLOOKUP($D196,'2022Data to Complete Appendix C'!$C$8:$Q$313,9,FALSE)</f>
        <v>2135.02</v>
      </c>
      <c r="N196" s="114">
        <f>VLOOKUP($D196,'2022Data to Complete Appendix C'!$C$8:$Q$313,10,FALSE)</f>
        <v>0.15598899999999999</v>
      </c>
      <c r="O196" s="115">
        <f>VLOOKUP($D196,'2022Data to Complete Appendix C'!$C$8:$Q$313,11,FALSE)</f>
        <v>0.56699999999999995</v>
      </c>
      <c r="P196" s="115">
        <f>VLOOKUP($D196,'2022Data to Complete Appendix C'!$C$8:$Q$313,12,FALSE)</f>
        <v>0.772675</v>
      </c>
      <c r="Q196" s="115">
        <f>VLOOKUP($D196,'2022Data to Complete Appendix C'!$C$8:$Q$313,13,FALSE)</f>
        <v>0.65200000000000002</v>
      </c>
      <c r="R196" s="114">
        <f>VLOOKUP($D196,'2022Data to Complete Appendix C'!$C$8:$Q$313,14,FALSE)</f>
        <v>2.2999999999999998</v>
      </c>
      <c r="S196" s="115">
        <f>VLOOKUP($D196,'2022Data to Complete Appendix C'!$C$8:$Q$313,15,FALSE)</f>
        <v>-0.31292999999999999</v>
      </c>
      <c r="T196" s="12">
        <f>IFERROR(VLOOKUP($D196,'2022LodgingbyWUP'!$A$1:$D$98,4,FALSE),0)</f>
        <v>0</v>
      </c>
      <c r="U196" s="12">
        <f t="shared" si="5"/>
        <v>0</v>
      </c>
      <c r="V196" s="12">
        <f>IFERROR(VLOOKUP($D196,Total_DU!$B$5:$Z$174,22,0),0)</f>
        <v>13437</v>
      </c>
      <c r="W196" s="12">
        <f>IFERROR(VLOOKUP($D196,Total_DU!$B$5:$Z$174,23,0),0)</f>
        <v>13775</v>
      </c>
      <c r="X196" s="12">
        <f>IFERROR(VLOOKUP($D196,Total_DU!$B$5:$Z$174,24,0),0)</f>
        <v>14567</v>
      </c>
      <c r="Y196" s="12">
        <f>IFERROR(VLOOKUP($D196,Total_DU!$B$5:$Z$174,25,0),0)</f>
        <v>16417</v>
      </c>
      <c r="Z196" s="12">
        <f>IFERROR(VLOOKUP($D196,Population!$B$5:$Y$174,21,FALSE),0)</f>
        <v>36520.872906206678</v>
      </c>
      <c r="AA196" s="12">
        <f>IFERROR(VLOOKUP($D196,Population!$B$5:$Y$174,22,FALSE),0)</f>
        <v>37416.93775505136</v>
      </c>
      <c r="AB196" s="12">
        <f>IFERROR(VLOOKUP($D196,Population!$B$5:$Y$174,23,FALSE),0)</f>
        <v>39694.383514246118</v>
      </c>
      <c r="AC196" s="12">
        <f>IFERROR(VLOOKUP($D196,Population!$B$5:$Y$174,24,FALSE),0)</f>
        <v>44258</v>
      </c>
    </row>
    <row r="197" spans="1:29" ht="15" x14ac:dyDescent="0.25">
      <c r="A197" s="2" t="s">
        <v>22</v>
      </c>
      <c r="B197" s="2" t="s">
        <v>671</v>
      </c>
      <c r="C197" s="2" t="s">
        <v>139</v>
      </c>
      <c r="D197" s="2">
        <v>8753</v>
      </c>
      <c r="E197" s="11">
        <v>2022</v>
      </c>
      <c r="F197" s="12">
        <f>VLOOKUP($D197,'2022Data to Complete Appendix C'!$C$8:$Q$313,2,FALSE)</f>
        <v>693</v>
      </c>
      <c r="G197" s="12">
        <f>VLOOKUP($D197,'2022Data to Complete Appendix C'!$C$8:$Q$313,3,FALSE)</f>
        <v>386</v>
      </c>
      <c r="H197" s="12">
        <f>VLOOKUP($D197,'2022Data to Complete Appendix C'!$C$8:$Q$313,4,FALSE)</f>
        <v>0</v>
      </c>
      <c r="I197" s="12">
        <f>VLOOKUP($D197,'2022Data to Complete Appendix C'!$C$8:$Q$313,5,FALSE)</f>
        <v>526</v>
      </c>
      <c r="J197" s="114">
        <f>VLOOKUP($D197,'2022Data to Complete Appendix C'!$C$8:$Q$313,6,FALSE)</f>
        <v>1.7953399999999999</v>
      </c>
      <c r="K197" s="114">
        <f>VLOOKUP($D197,'2022Data to Complete Appendix C'!$C$8:$Q$313,7,FALSE)</f>
        <v>1.95</v>
      </c>
      <c r="L197" s="114">
        <f>VLOOKUP($D197,'2022Data to Complete Appendix C'!$C$8:$Q$313,8,FALSE)</f>
        <v>1.1256200000000001</v>
      </c>
      <c r="M197" s="12">
        <f>VLOOKUP($D197,'2022Data to Complete Appendix C'!$C$8:$Q$313,9,FALSE)</f>
        <v>44.6434</v>
      </c>
      <c r="N197" s="114">
        <f>VLOOKUP($D197,'2022Data to Complete Appendix C'!$C$8:$Q$313,10,FALSE)</f>
        <v>0.103667</v>
      </c>
      <c r="O197" s="115">
        <f>VLOOKUP($D197,'2022Data to Complete Appendix C'!$C$8:$Q$313,11,FALSE)</f>
        <v>0.56699999999999995</v>
      </c>
      <c r="P197" s="115">
        <f>VLOOKUP($D197,'2022Data to Complete Appendix C'!$C$8:$Q$313,12,FALSE)</f>
        <v>0.772675</v>
      </c>
      <c r="Q197" s="115">
        <f>VLOOKUP($D197,'2022Data to Complete Appendix C'!$C$8:$Q$313,13,FALSE)</f>
        <v>0.65200000000000002</v>
      </c>
      <c r="R197" s="114">
        <f>VLOOKUP($D197,'2022Data to Complete Appendix C'!$C$8:$Q$313,14,FALSE)</f>
        <v>2.2999999999999998</v>
      </c>
      <c r="S197" s="115">
        <f>VLOOKUP($D197,'2022Data to Complete Appendix C'!$C$8:$Q$313,15,FALSE)</f>
        <v>0.10958900000000001</v>
      </c>
      <c r="T197" s="12">
        <f>IFERROR(VLOOKUP($D197,'2022LodgingbyWUP'!$A$1:$D$98,4,FALSE),0)</f>
        <v>0</v>
      </c>
      <c r="U197" s="12">
        <f t="shared" si="5"/>
        <v>0</v>
      </c>
      <c r="V197" s="12" t="str">
        <f>IFERROR(VLOOKUP($D197,Total_DU!$B$5:$Z$174,22,0),0)</f>
        <v>NA</v>
      </c>
      <c r="W197" s="12" t="str">
        <f>IFERROR(VLOOKUP($D197,Total_DU!$B$5:$Z$174,23,0),0)</f>
        <v>NA</v>
      </c>
      <c r="X197" s="12" t="str">
        <f>IFERROR(VLOOKUP($D197,Total_DU!$B$5:$Z$174,24,0),0)</f>
        <v>NA</v>
      </c>
      <c r="Y197" s="12" t="str">
        <f>IFERROR(VLOOKUP($D197,Total_DU!$B$5:$Z$174,25,0),0)</f>
        <v>NA</v>
      </c>
      <c r="Z197" s="12">
        <f>IFERROR(VLOOKUP($D197,Population!$B$5:$Y$174,21,FALSE),0)</f>
        <v>748</v>
      </c>
      <c r="AA197" s="12" t="str">
        <f>IFERROR(VLOOKUP($D197,Population!$B$5:$Y$174,22,FALSE),0)</f>
        <v>NA</v>
      </c>
      <c r="AB197" s="12" t="str">
        <f>IFERROR(VLOOKUP($D197,Population!$B$5:$Y$174,23,FALSE),0)</f>
        <v>NA</v>
      </c>
      <c r="AC197" s="12" t="str">
        <f>IFERROR(VLOOKUP($D197,Population!$B$5:$Y$174,24,FALSE),0)</f>
        <v>NA</v>
      </c>
    </row>
    <row r="198" spans="1:29" ht="15" x14ac:dyDescent="0.25">
      <c r="A198" s="11" t="s">
        <v>22</v>
      </c>
      <c r="B198" s="11" t="s">
        <v>672</v>
      </c>
      <c r="C198" s="11" t="s">
        <v>157</v>
      </c>
      <c r="D198" s="11">
        <v>8967</v>
      </c>
      <c r="E198" s="11">
        <v>2022</v>
      </c>
      <c r="F198" s="12">
        <f>VLOOKUP($D198,'2022Data to Complete Appendix C'!$C$8:$Q$313,2,FALSE)</f>
        <v>562</v>
      </c>
      <c r="G198" s="12">
        <f>VLOOKUP($D198,'2022Data to Complete Appendix C'!$C$8:$Q$313,3,FALSE)</f>
        <v>331</v>
      </c>
      <c r="H198" s="12">
        <f>VLOOKUP($D198,'2022Data to Complete Appendix C'!$C$8:$Q$313,4,FALSE)</f>
        <v>0</v>
      </c>
      <c r="I198" s="12">
        <f>VLOOKUP($D198,'2022Data to Complete Appendix C'!$C$8:$Q$313,5,FALSE)</f>
        <v>405</v>
      </c>
      <c r="J198" s="114">
        <f>VLOOKUP($D198,'2022Data to Complete Appendix C'!$C$8:$Q$313,6,FALSE)</f>
        <v>1.6978899999999999</v>
      </c>
      <c r="K198" s="114">
        <f>VLOOKUP($D198,'2022Data to Complete Appendix C'!$C$8:$Q$313,7,FALSE)</f>
        <v>1.95</v>
      </c>
      <c r="L198" s="114">
        <f>VLOOKUP($D198,'2022Data to Complete Appendix C'!$C$8:$Q$313,8,FALSE)</f>
        <v>1.1256200000000001</v>
      </c>
      <c r="M198" s="12">
        <f>VLOOKUP($D198,'2022Data to Complete Appendix C'!$C$8:$Q$313,9,FALSE)</f>
        <v>36.204300000000003</v>
      </c>
      <c r="N198" s="114">
        <f>VLOOKUP($D198,'2022Data to Complete Appendix C'!$C$8:$Q$313,10,FALSE)</f>
        <v>9.8594500000000002E-2</v>
      </c>
      <c r="O198" s="115">
        <f>VLOOKUP($D198,'2022Data to Complete Appendix C'!$C$8:$Q$313,11,FALSE)</f>
        <v>0.56699999999999995</v>
      </c>
      <c r="P198" s="115">
        <f>VLOOKUP($D198,'2022Data to Complete Appendix C'!$C$8:$Q$313,12,FALSE)</f>
        <v>0.772675</v>
      </c>
      <c r="Q198" s="115">
        <f>VLOOKUP($D198,'2022Data to Complete Appendix C'!$C$8:$Q$313,13,FALSE)</f>
        <v>0.65200000000000002</v>
      </c>
      <c r="R198" s="114">
        <f>VLOOKUP($D198,'2022Data to Complete Appendix C'!$C$8:$Q$313,14,FALSE)</f>
        <v>2.2999999999999998</v>
      </c>
      <c r="S198" s="115">
        <f>VLOOKUP($D198,'2022Data to Complete Appendix C'!$C$8:$Q$313,15,FALSE)</f>
        <v>-0.13492999999999999</v>
      </c>
      <c r="T198" s="12">
        <f>IFERROR(VLOOKUP($D198,'2022LodgingbyWUP'!$A$1:$D$98,4,FALSE),0)</f>
        <v>0</v>
      </c>
      <c r="U198" s="12">
        <f t="shared" si="5"/>
        <v>0</v>
      </c>
      <c r="V198" s="12">
        <f>IFERROR(VLOOKUP($D198,Total_DU!$B$5:$Z$174,22,0),0)</f>
        <v>416</v>
      </c>
      <c r="W198" s="12">
        <f>IFERROR(VLOOKUP($D198,Total_DU!$B$5:$Z$174,23,0),0)</f>
        <v>416</v>
      </c>
      <c r="X198" s="12">
        <f>IFERROR(VLOOKUP($D198,Total_DU!$B$5:$Z$174,24,0),0)</f>
        <v>416</v>
      </c>
      <c r="Y198" s="12">
        <f>IFERROR(VLOOKUP($D198,Total_DU!$B$5:$Z$174,25,0),0)</f>
        <v>416</v>
      </c>
      <c r="Z198" s="12">
        <f>IFERROR(VLOOKUP($D198,Population!$B$5:$Y$174,21,FALSE),0)</f>
        <v>698.48122876167997</v>
      </c>
      <c r="AA198" s="12">
        <f>IFERROR(VLOOKUP($D198,Population!$B$5:$Y$174,22,FALSE),0)</f>
        <v>698.48119695036803</v>
      </c>
      <c r="AB198" s="12">
        <f>IFERROR(VLOOKUP($D198,Population!$B$5:$Y$174,23,FALSE),0)</f>
        <v>698.48121311988928</v>
      </c>
      <c r="AC198" s="12">
        <f>IFERROR(VLOOKUP($D198,Population!$B$5:$Y$174,24,FALSE),0)</f>
        <v>698</v>
      </c>
    </row>
    <row r="199" spans="1:29" ht="15" x14ac:dyDescent="0.25">
      <c r="A199" s="2" t="s">
        <v>22</v>
      </c>
      <c r="B199" s="2" t="s">
        <v>673</v>
      </c>
      <c r="C199" s="2" t="s">
        <v>137</v>
      </c>
      <c r="D199" s="2">
        <v>9128</v>
      </c>
      <c r="E199" s="11">
        <v>2022</v>
      </c>
      <c r="F199" s="12">
        <f>VLOOKUP($D199,'2022Data to Complete Appendix C'!$C$8:$Q$313,2,FALSE)</f>
        <v>1177</v>
      </c>
      <c r="G199" s="12">
        <f>VLOOKUP($D199,'2022Data to Complete Appendix C'!$C$8:$Q$313,3,FALSE)</f>
        <v>406</v>
      </c>
      <c r="H199" s="12">
        <f>VLOOKUP($D199,'2022Data to Complete Appendix C'!$C$8:$Q$313,4,FALSE)</f>
        <v>0</v>
      </c>
      <c r="I199" s="12">
        <f>VLOOKUP($D199,'2022Data to Complete Appendix C'!$C$8:$Q$313,5,FALSE)</f>
        <v>451</v>
      </c>
      <c r="J199" s="114">
        <f>VLOOKUP($D199,'2022Data to Complete Appendix C'!$C$8:$Q$313,6,FALSE)</f>
        <v>2.8990100000000001</v>
      </c>
      <c r="K199" s="114">
        <f>VLOOKUP($D199,'2022Data to Complete Appendix C'!$C$8:$Q$313,7,FALSE)</f>
        <v>1.95</v>
      </c>
      <c r="L199" s="114">
        <f>VLOOKUP($D199,'2022Data to Complete Appendix C'!$C$8:$Q$313,8,FALSE)</f>
        <v>1.0542899999999999</v>
      </c>
      <c r="M199" s="12">
        <f>VLOOKUP($D199,'2022Data to Complete Appendix C'!$C$8:$Q$313,9,FALSE)</f>
        <v>32.768300000000004</v>
      </c>
      <c r="N199" s="114">
        <f>VLOOKUP($D199,'2022Data to Complete Appendix C'!$C$8:$Q$313,10,FALSE)</f>
        <v>7.4682399999999996E-2</v>
      </c>
      <c r="O199" s="115">
        <f>VLOOKUP($D199,'2022Data to Complete Appendix C'!$C$8:$Q$313,11,FALSE)</f>
        <v>0.56699999999999995</v>
      </c>
      <c r="P199" s="115">
        <f>VLOOKUP($D199,'2022Data to Complete Appendix C'!$C$8:$Q$313,12,FALSE)</f>
        <v>0.772675</v>
      </c>
      <c r="Q199" s="115">
        <f>VLOOKUP($D199,'2022Data to Complete Appendix C'!$C$8:$Q$313,13,FALSE)</f>
        <v>0.65200000000000002</v>
      </c>
      <c r="R199" s="114">
        <f>VLOOKUP($D199,'2022Data to Complete Appendix C'!$C$8:$Q$313,14,FALSE)</f>
        <v>2.2999999999999998</v>
      </c>
      <c r="S199" s="115">
        <f>VLOOKUP($D199,'2022Data to Complete Appendix C'!$C$8:$Q$313,15,FALSE)</f>
        <v>-6.2351499999999997E-2</v>
      </c>
      <c r="T199" s="12">
        <f>IFERROR(VLOOKUP($D199,'2022LodgingbyWUP'!$A$1:$D$98,4,FALSE),0)</f>
        <v>0</v>
      </c>
      <c r="U199" s="12">
        <f t="shared" si="5"/>
        <v>0</v>
      </c>
      <c r="V199" s="12">
        <f>IFERROR(VLOOKUP($D199,Total_DU!$B$5:$Z$174,22,0),0)</f>
        <v>0</v>
      </c>
      <c r="W199" s="12">
        <f>IFERROR(VLOOKUP($D199,Total_DU!$B$5:$Z$174,23,0),0)</f>
        <v>0</v>
      </c>
      <c r="X199" s="12">
        <f>IFERROR(VLOOKUP($D199,Total_DU!$B$5:$Z$174,24,0),0)</f>
        <v>0</v>
      </c>
      <c r="Y199" s="12">
        <f>IFERROR(VLOOKUP($D199,Total_DU!$B$5:$Z$174,25,0),0)</f>
        <v>0</v>
      </c>
      <c r="Z199" s="12">
        <f>IFERROR(VLOOKUP($D199,Population!$B$5:$Y$174,21,FALSE),0)</f>
        <v>0</v>
      </c>
      <c r="AA199" s="12">
        <f>IFERROR(VLOOKUP($D199,Population!$B$5:$Y$174,22,FALSE),0)</f>
        <v>0</v>
      </c>
      <c r="AB199" s="12">
        <f>IFERROR(VLOOKUP($D199,Population!$B$5:$Y$174,23,FALSE),0)</f>
        <v>0</v>
      </c>
      <c r="AC199" s="12">
        <f>IFERROR(VLOOKUP($D199,Population!$B$5:$Y$174,24,FALSE),0)</f>
        <v>0</v>
      </c>
    </row>
    <row r="200" spans="1:29" ht="15" x14ac:dyDescent="0.25">
      <c r="A200" s="11" t="s">
        <v>22</v>
      </c>
      <c r="B200" s="11" t="s">
        <v>723</v>
      </c>
      <c r="C200" s="11" t="s">
        <v>483</v>
      </c>
      <c r="D200" s="11">
        <v>9336</v>
      </c>
      <c r="E200" s="11">
        <v>2022</v>
      </c>
      <c r="F200" s="12">
        <f>VLOOKUP($D200,'2022Data to Complete Appendix C'!$C$8:$Q$313,2,FALSE)</f>
        <v>1246</v>
      </c>
      <c r="G200" s="12">
        <f>VLOOKUP($D200,'2022Data to Complete Appendix C'!$C$8:$Q$313,3,FALSE)</f>
        <v>507</v>
      </c>
      <c r="H200" s="12">
        <f>VLOOKUP($D200,'2022Data to Complete Appendix C'!$C$8:$Q$313,4,FALSE)</f>
        <v>1</v>
      </c>
      <c r="I200" s="12">
        <f>VLOOKUP($D200,'2022Data to Complete Appendix C'!$C$8:$Q$313,5,FALSE)</f>
        <v>585</v>
      </c>
      <c r="J200" s="114">
        <f>VLOOKUP($D200,'2022Data to Complete Appendix C'!$C$8:$Q$313,6,FALSE)</f>
        <v>2.4575900000000002</v>
      </c>
      <c r="K200" s="114">
        <f>VLOOKUP($D200,'2022Data to Complete Appendix C'!$C$8:$Q$313,7,FALSE)</f>
        <v>1.95</v>
      </c>
      <c r="L200" s="114">
        <f>VLOOKUP($D200,'2022Data to Complete Appendix C'!$C$8:$Q$313,8,FALSE)</f>
        <v>1.06135</v>
      </c>
      <c r="M200" s="12">
        <f>VLOOKUP($D200,'2022Data to Complete Appendix C'!$C$8:$Q$313,9,FALSE)</f>
        <v>39.204300000000003</v>
      </c>
      <c r="N200" s="114">
        <f>VLOOKUP($D200,'2022Data to Complete Appendix C'!$C$8:$Q$313,10,FALSE)</f>
        <v>7.1775800000000001E-2</v>
      </c>
      <c r="O200" s="115">
        <f>VLOOKUP($D200,'2022Data to Complete Appendix C'!$C$8:$Q$313,11,FALSE)</f>
        <v>0.56699999999999995</v>
      </c>
      <c r="P200" s="115">
        <f>VLOOKUP($D200,'2022Data to Complete Appendix C'!$C$8:$Q$313,12,FALSE)</f>
        <v>0.772675</v>
      </c>
      <c r="Q200" s="115">
        <f>VLOOKUP($D200,'2022Data to Complete Appendix C'!$C$8:$Q$313,13,FALSE)</f>
        <v>0.65200000000000002</v>
      </c>
      <c r="R200" s="114">
        <f>VLOOKUP($D200,'2022Data to Complete Appendix C'!$C$8:$Q$313,14,FALSE)</f>
        <v>2.2999999999999998</v>
      </c>
      <c r="S200" s="115">
        <f>VLOOKUP($D200,'2022Data to Complete Appendix C'!$C$8:$Q$313,15,FALSE)</f>
        <v>-0.40730699999999997</v>
      </c>
      <c r="T200" s="12">
        <f>IFERROR(VLOOKUP($D200,'2022LodgingbyWUP'!$A$1:$D$98,4,FALSE),0)</f>
        <v>0</v>
      </c>
      <c r="U200" s="12">
        <f t="shared" si="5"/>
        <v>0</v>
      </c>
      <c r="V200" s="12">
        <f>IFERROR(VLOOKUP($D200,Total_DU!$B$5:$Z$174,22,0),0)</f>
        <v>0</v>
      </c>
      <c r="W200" s="12">
        <f>IFERROR(VLOOKUP($D200,Total_DU!$B$5:$Z$174,23,0),0)</f>
        <v>0</v>
      </c>
      <c r="X200" s="12">
        <f>IFERROR(VLOOKUP($D200,Total_DU!$B$5:$Z$174,24,0),0)</f>
        <v>0</v>
      </c>
      <c r="Y200" s="12">
        <f>IFERROR(VLOOKUP($D200,Total_DU!$B$5:$Z$174,25,0),0)</f>
        <v>0</v>
      </c>
      <c r="Z200" s="12">
        <f>IFERROR(VLOOKUP($D200,Population!$B$5:$Y$174,21,FALSE),0)</f>
        <v>0</v>
      </c>
      <c r="AA200" s="12">
        <f>IFERROR(VLOOKUP($D200,Population!$B$5:$Y$174,22,FALSE),0)</f>
        <v>0</v>
      </c>
      <c r="AB200" s="12">
        <f>IFERROR(VLOOKUP($D200,Population!$B$5:$Y$174,23,FALSE),0)</f>
        <v>0</v>
      </c>
      <c r="AC200" s="12">
        <f>IFERROR(VLOOKUP($D200,Population!$B$5:$Y$174,24,FALSE),0)</f>
        <v>0</v>
      </c>
    </row>
    <row r="201" spans="1:29" ht="15" x14ac:dyDescent="0.25">
      <c r="A201" s="2" t="s">
        <v>22</v>
      </c>
      <c r="B201" s="2" t="s">
        <v>674</v>
      </c>
      <c r="C201" s="2" t="s">
        <v>155</v>
      </c>
      <c r="D201" s="2">
        <v>9557</v>
      </c>
      <c r="E201" s="11">
        <v>2022</v>
      </c>
      <c r="F201" s="12">
        <f>VLOOKUP($D201,'2022Data to Complete Appendix C'!$C$8:$Q$313,2,FALSE)</f>
        <v>324</v>
      </c>
      <c r="G201" s="12">
        <f>VLOOKUP($D201,'2022Data to Complete Appendix C'!$C$8:$Q$313,3,FALSE)</f>
        <v>179</v>
      </c>
      <c r="H201" s="12">
        <f>VLOOKUP($D201,'2022Data to Complete Appendix C'!$C$8:$Q$313,4,FALSE)</f>
        <v>0</v>
      </c>
      <c r="I201" s="12">
        <f>VLOOKUP($D201,'2022Data to Complete Appendix C'!$C$8:$Q$313,5,FALSE)</f>
        <v>326</v>
      </c>
      <c r="J201" s="114">
        <f>VLOOKUP($D201,'2022Data to Complete Appendix C'!$C$8:$Q$313,6,FALSE)</f>
        <v>1.81006</v>
      </c>
      <c r="K201" s="114">
        <f>VLOOKUP($D201,'2022Data to Complete Appendix C'!$C$8:$Q$313,7,FALSE)</f>
        <v>1.95</v>
      </c>
      <c r="L201" s="114">
        <f>VLOOKUP($D201,'2022Data to Complete Appendix C'!$C$8:$Q$313,8,FALSE)</f>
        <v>1.2116199999999999</v>
      </c>
      <c r="M201" s="12">
        <f>VLOOKUP($D201,'2022Data to Complete Appendix C'!$C$8:$Q$313,9,FALSE)</f>
        <v>35.161799999999999</v>
      </c>
      <c r="N201" s="114">
        <f>VLOOKUP($D201,'2022Data to Complete Appendix C'!$C$8:$Q$313,10,FALSE)</f>
        <v>0.164183</v>
      </c>
      <c r="O201" s="115">
        <f>VLOOKUP($D201,'2022Data to Complete Appendix C'!$C$8:$Q$313,11,FALSE)</f>
        <v>0.56699999999999995</v>
      </c>
      <c r="P201" s="115">
        <f>VLOOKUP($D201,'2022Data to Complete Appendix C'!$C$8:$Q$313,12,FALSE)</f>
        <v>0.772675</v>
      </c>
      <c r="Q201" s="115">
        <f>VLOOKUP($D201,'2022Data to Complete Appendix C'!$C$8:$Q$313,13,FALSE)</f>
        <v>0.65200000000000002</v>
      </c>
      <c r="R201" s="114">
        <f>VLOOKUP($D201,'2022Data to Complete Appendix C'!$C$8:$Q$313,14,FALSE)</f>
        <v>2.2999999999999998</v>
      </c>
      <c r="S201" s="115">
        <f>VLOOKUP($D201,'2022Data to Complete Appendix C'!$C$8:$Q$313,15,FALSE)</f>
        <v>-0.12878300000000001</v>
      </c>
      <c r="T201" s="12">
        <f>IFERROR(VLOOKUP($D201,'2022LodgingbyWUP'!$A$1:$D$98,4,FALSE),0)</f>
        <v>0</v>
      </c>
      <c r="U201" s="12">
        <f t="shared" si="5"/>
        <v>0</v>
      </c>
      <c r="V201" s="12">
        <f>IFERROR(VLOOKUP($D201,Total_DU!$B$5:$Z$174,22,0),0)</f>
        <v>0</v>
      </c>
      <c r="W201" s="12">
        <f>IFERROR(VLOOKUP($D201,Total_DU!$B$5:$Z$174,23,0),0)</f>
        <v>0</v>
      </c>
      <c r="X201" s="12">
        <f>IFERROR(VLOOKUP($D201,Total_DU!$B$5:$Z$174,24,0),0)</f>
        <v>0</v>
      </c>
      <c r="Y201" s="12">
        <f>IFERROR(VLOOKUP($D201,Total_DU!$B$5:$Z$174,25,0),0)</f>
        <v>0</v>
      </c>
      <c r="Z201" s="12">
        <f>IFERROR(VLOOKUP($D201,Population!$B$5:$Y$174,21,FALSE),0)</f>
        <v>0</v>
      </c>
      <c r="AA201" s="12">
        <f>IFERROR(VLOOKUP($D201,Population!$B$5:$Y$174,22,FALSE),0)</f>
        <v>0</v>
      </c>
      <c r="AB201" s="12">
        <f>IFERROR(VLOOKUP($D201,Population!$B$5:$Y$174,23,FALSE),0)</f>
        <v>0</v>
      </c>
      <c r="AC201" s="12">
        <f>IFERROR(VLOOKUP($D201,Population!$B$5:$Y$174,24,FALSE),0)</f>
        <v>0</v>
      </c>
    </row>
    <row r="202" spans="1:29" ht="15" x14ac:dyDescent="0.25">
      <c r="A202" s="11" t="s">
        <v>22</v>
      </c>
      <c r="B202" s="11" t="s">
        <v>675</v>
      </c>
      <c r="C202" s="11" t="s">
        <v>119</v>
      </c>
      <c r="D202" s="11">
        <v>9569</v>
      </c>
      <c r="E202" s="11">
        <v>2022</v>
      </c>
      <c r="F202" s="12">
        <f>VLOOKUP($D202,'2022Data to Complete Appendix C'!$C$8:$Q$313,2,FALSE)</f>
        <v>800</v>
      </c>
      <c r="G202" s="12">
        <f>VLOOKUP($D202,'2022Data to Complete Appendix C'!$C$8:$Q$313,3,FALSE)</f>
        <v>199</v>
      </c>
      <c r="H202" s="12">
        <f>VLOOKUP($D202,'2022Data to Complete Appendix C'!$C$8:$Q$313,4,FALSE)</f>
        <v>0</v>
      </c>
      <c r="I202" s="12">
        <f>VLOOKUP($D202,'2022Data to Complete Appendix C'!$C$8:$Q$313,5,FALSE)</f>
        <v>222</v>
      </c>
      <c r="J202" s="114">
        <f>VLOOKUP($D202,'2022Data to Complete Appendix C'!$C$8:$Q$313,6,FALSE)</f>
        <v>4.0201000000000002</v>
      </c>
      <c r="K202" s="114">
        <f>VLOOKUP($D202,'2022Data to Complete Appendix C'!$C$8:$Q$313,7,FALSE)</f>
        <v>1.95</v>
      </c>
      <c r="L202" s="114">
        <f>VLOOKUP($D202,'2022Data to Complete Appendix C'!$C$8:$Q$313,8,FALSE)</f>
        <v>1.1256200000000001</v>
      </c>
      <c r="M202" s="12">
        <f>VLOOKUP($D202,'2022Data to Complete Appendix C'!$C$8:$Q$313,9,FALSE)</f>
        <v>51.5364</v>
      </c>
      <c r="N202" s="114">
        <f>VLOOKUP($D202,'2022Data to Complete Appendix C'!$C$8:$Q$313,10,FALSE)</f>
        <v>0.205704</v>
      </c>
      <c r="O202" s="115">
        <f>VLOOKUP($D202,'2022Data to Complete Appendix C'!$C$8:$Q$313,11,FALSE)</f>
        <v>0.56699999999999995</v>
      </c>
      <c r="P202" s="115">
        <f>VLOOKUP($D202,'2022Data to Complete Appendix C'!$C$8:$Q$313,12,FALSE)</f>
        <v>0.772675</v>
      </c>
      <c r="Q202" s="115">
        <f>VLOOKUP($D202,'2022Data to Complete Appendix C'!$C$8:$Q$313,13,FALSE)</f>
        <v>0.65200000000000002</v>
      </c>
      <c r="R202" s="114">
        <f>VLOOKUP($D202,'2022Data to Complete Appendix C'!$C$8:$Q$313,14,FALSE)</f>
        <v>2.2999999999999998</v>
      </c>
      <c r="S202" s="115">
        <f>VLOOKUP($D202,'2022Data to Complete Appendix C'!$C$8:$Q$313,15,FALSE)</f>
        <v>-0.44907000000000002</v>
      </c>
      <c r="T202" s="12">
        <f>IFERROR(VLOOKUP($D202,'2022LodgingbyWUP'!$A$1:$D$98,4,FALSE),0)</f>
        <v>0</v>
      </c>
      <c r="U202" s="12">
        <f t="shared" si="5"/>
        <v>0</v>
      </c>
      <c r="V202" s="12">
        <f>IFERROR(VLOOKUP($D202,Total_DU!$B$5:$Z$174,22,0),0)</f>
        <v>0</v>
      </c>
      <c r="W202" s="12">
        <f>IFERROR(VLOOKUP($D202,Total_DU!$B$5:$Z$174,23,0),0)</f>
        <v>0</v>
      </c>
      <c r="X202" s="12">
        <f>IFERROR(VLOOKUP($D202,Total_DU!$B$5:$Z$174,24,0),0)</f>
        <v>0</v>
      </c>
      <c r="Y202" s="12">
        <f>IFERROR(VLOOKUP($D202,Total_DU!$B$5:$Z$174,25,0),0)</f>
        <v>0</v>
      </c>
      <c r="Z202" s="12">
        <f>IFERROR(VLOOKUP($D202,Population!$B$5:$Y$174,21,FALSE),0)</f>
        <v>0</v>
      </c>
      <c r="AA202" s="12">
        <f>IFERROR(VLOOKUP($D202,Population!$B$5:$Y$174,22,FALSE),0)</f>
        <v>0</v>
      </c>
      <c r="AB202" s="12">
        <f>IFERROR(VLOOKUP($D202,Population!$B$5:$Y$174,23,FALSE),0)</f>
        <v>0</v>
      </c>
      <c r="AC202" s="12">
        <f>IFERROR(VLOOKUP($D202,Population!$B$5:$Y$174,24,FALSE),0)</f>
        <v>0</v>
      </c>
    </row>
    <row r="203" spans="1:29" ht="15" x14ac:dyDescent="0.25">
      <c r="A203" s="2" t="s">
        <v>22</v>
      </c>
      <c r="B203" s="2" t="s">
        <v>676</v>
      </c>
      <c r="C203" s="2" t="s">
        <v>174</v>
      </c>
      <c r="D203" s="2">
        <v>9807</v>
      </c>
      <c r="E203" s="11">
        <v>2022</v>
      </c>
      <c r="F203" s="12">
        <f>VLOOKUP($D203,'2022Data to Complete Appendix C'!$C$8:$Q$313,2,FALSE)</f>
        <v>232</v>
      </c>
      <c r="G203" s="12">
        <f>VLOOKUP($D203,'2022Data to Complete Appendix C'!$C$8:$Q$313,3,FALSE)</f>
        <v>105</v>
      </c>
      <c r="H203" s="12">
        <f>VLOOKUP($D203,'2022Data to Complete Appendix C'!$C$8:$Q$313,4,FALSE)</f>
        <v>0</v>
      </c>
      <c r="I203" s="12">
        <f>VLOOKUP($D203,'2022Data to Complete Appendix C'!$C$8:$Q$313,5,FALSE)</f>
        <v>161</v>
      </c>
      <c r="J203" s="114">
        <f>VLOOKUP($D203,'2022Data to Complete Appendix C'!$C$8:$Q$313,6,FALSE)</f>
        <v>2.2095199999999999</v>
      </c>
      <c r="K203" s="114">
        <f>VLOOKUP($D203,'2022Data to Complete Appendix C'!$C$8:$Q$313,7,FALSE)</f>
        <v>1.95</v>
      </c>
      <c r="L203" s="114">
        <f>VLOOKUP($D203,'2022Data to Complete Appendix C'!$C$8:$Q$313,8,FALSE)</f>
        <v>1.25708</v>
      </c>
      <c r="M203" s="12">
        <f>VLOOKUP($D203,'2022Data to Complete Appendix C'!$C$8:$Q$313,9,FALSE)</f>
        <v>30.585699999999999</v>
      </c>
      <c r="N203" s="114">
        <f>VLOOKUP($D203,'2022Data to Complete Appendix C'!$C$8:$Q$313,10,FALSE)</f>
        <v>0.225582</v>
      </c>
      <c r="O203" s="115">
        <f>VLOOKUP($D203,'2022Data to Complete Appendix C'!$C$8:$Q$313,11,FALSE)</f>
        <v>0.56699999999999995</v>
      </c>
      <c r="P203" s="115">
        <f>VLOOKUP($D203,'2022Data to Complete Appendix C'!$C$8:$Q$313,12,FALSE)</f>
        <v>0.772675</v>
      </c>
      <c r="Q203" s="115">
        <f>VLOOKUP($D203,'2022Data to Complete Appendix C'!$C$8:$Q$313,13,FALSE)</f>
        <v>0.65200000000000002</v>
      </c>
      <c r="R203" s="114">
        <f>VLOOKUP($D203,'2022Data to Complete Appendix C'!$C$8:$Q$313,14,FALSE)</f>
        <v>2.2999999999999998</v>
      </c>
      <c r="S203" s="115">
        <f>VLOOKUP($D203,'2022Data to Complete Appendix C'!$C$8:$Q$313,15,FALSE)</f>
        <v>0.16</v>
      </c>
      <c r="T203" s="12">
        <f>IFERROR(VLOOKUP($D203,'2022LodgingbyWUP'!$A$1:$D$98,4,FALSE),0)</f>
        <v>0</v>
      </c>
      <c r="U203" s="12">
        <f t="shared" si="5"/>
        <v>0</v>
      </c>
      <c r="V203" s="12">
        <f>IFERROR(VLOOKUP($D203,Total_DU!$B$5:$Z$174,22,0),0)</f>
        <v>0</v>
      </c>
      <c r="W203" s="12">
        <f>IFERROR(VLOOKUP($D203,Total_DU!$B$5:$Z$174,23,0),0)</f>
        <v>0</v>
      </c>
      <c r="X203" s="12">
        <f>IFERROR(VLOOKUP($D203,Total_DU!$B$5:$Z$174,24,0),0)</f>
        <v>0</v>
      </c>
      <c r="Y203" s="12">
        <f>IFERROR(VLOOKUP($D203,Total_DU!$B$5:$Z$174,25,0),0)</f>
        <v>0</v>
      </c>
      <c r="Z203" s="12">
        <f>IFERROR(VLOOKUP($D203,Population!$B$5:$Y$174,21,FALSE),0)</f>
        <v>0</v>
      </c>
      <c r="AA203" s="12">
        <f>IFERROR(VLOOKUP($D203,Population!$B$5:$Y$174,22,FALSE),0)</f>
        <v>0</v>
      </c>
      <c r="AB203" s="12">
        <f>IFERROR(VLOOKUP($D203,Population!$B$5:$Y$174,23,FALSE),0)</f>
        <v>0</v>
      </c>
      <c r="AC203" s="12">
        <f>IFERROR(VLOOKUP($D203,Population!$B$5:$Y$174,24,FALSE),0)</f>
        <v>0</v>
      </c>
    </row>
    <row r="204" spans="1:29" ht="15" x14ac:dyDescent="0.25">
      <c r="A204" s="11" t="s">
        <v>22</v>
      </c>
      <c r="B204" s="11" t="s">
        <v>677</v>
      </c>
      <c r="C204" s="11" t="s">
        <v>173</v>
      </c>
      <c r="D204" s="11">
        <v>9835</v>
      </c>
      <c r="E204" s="11">
        <v>2022</v>
      </c>
      <c r="F204" s="12">
        <f>VLOOKUP($D204,'2022Data to Complete Appendix C'!$C$8:$Q$313,2,FALSE)</f>
        <v>280</v>
      </c>
      <c r="G204" s="12">
        <f>VLOOKUP($D204,'2022Data to Complete Appendix C'!$C$8:$Q$313,3,FALSE)</f>
        <v>111</v>
      </c>
      <c r="H204" s="12">
        <f>VLOOKUP($D204,'2022Data to Complete Appendix C'!$C$8:$Q$313,4,FALSE)</f>
        <v>0</v>
      </c>
      <c r="I204" s="12">
        <f>VLOOKUP($D204,'2022Data to Complete Appendix C'!$C$8:$Q$313,5,FALSE)</f>
        <v>117</v>
      </c>
      <c r="J204" s="114">
        <f>VLOOKUP($D204,'2022Data to Complete Appendix C'!$C$8:$Q$313,6,FALSE)</f>
        <v>2.5225200000000001</v>
      </c>
      <c r="K204" s="114">
        <f>VLOOKUP($D204,'2022Data to Complete Appendix C'!$C$8:$Q$313,7,FALSE)</f>
        <v>1.95</v>
      </c>
      <c r="L204" s="114">
        <f>VLOOKUP($D204,'2022Data to Complete Appendix C'!$C$8:$Q$313,8,FALSE)</f>
        <v>1.07664</v>
      </c>
      <c r="M204" s="12">
        <f>VLOOKUP($D204,'2022Data to Complete Appendix C'!$C$8:$Q$313,9,FALSE)</f>
        <v>11.005000000000001</v>
      </c>
      <c r="N204" s="114">
        <f>VLOOKUP($D204,'2022Data to Complete Appendix C'!$C$8:$Q$313,10,FALSE)</f>
        <v>9.0201199999999995E-2</v>
      </c>
      <c r="O204" s="115">
        <f>VLOOKUP($D204,'2022Data to Complete Appendix C'!$C$8:$Q$313,11,FALSE)</f>
        <v>0.56699999999999995</v>
      </c>
      <c r="P204" s="115">
        <f>VLOOKUP($D204,'2022Data to Complete Appendix C'!$C$8:$Q$313,12,FALSE)</f>
        <v>0.772675</v>
      </c>
      <c r="Q204" s="115">
        <f>VLOOKUP($D204,'2022Data to Complete Appendix C'!$C$8:$Q$313,13,FALSE)</f>
        <v>0.65200000000000002</v>
      </c>
      <c r="R204" s="114">
        <f>VLOOKUP($D204,'2022Data to Complete Appendix C'!$C$8:$Q$313,14,FALSE)</f>
        <v>2.2999999999999998</v>
      </c>
      <c r="S204" s="115">
        <f>VLOOKUP($D204,'2022Data to Complete Appendix C'!$C$8:$Q$313,15,FALSE)</f>
        <v>-0.91044800000000004</v>
      </c>
      <c r="T204" s="12">
        <f>IFERROR(VLOOKUP($D204,'2022LodgingbyWUP'!$A$1:$D$98,4,FALSE),0)</f>
        <v>0</v>
      </c>
      <c r="U204" s="12">
        <f t="shared" si="5"/>
        <v>0</v>
      </c>
      <c r="V204" s="12">
        <f>IFERROR(VLOOKUP($D204,Total_DU!$B$5:$Z$174,22,0),0)</f>
        <v>0</v>
      </c>
      <c r="W204" s="12">
        <f>IFERROR(VLOOKUP($D204,Total_DU!$B$5:$Z$174,23,0),0)</f>
        <v>0</v>
      </c>
      <c r="X204" s="12">
        <f>IFERROR(VLOOKUP($D204,Total_DU!$B$5:$Z$174,24,0),0)</f>
        <v>0</v>
      </c>
      <c r="Y204" s="12">
        <f>IFERROR(VLOOKUP($D204,Total_DU!$B$5:$Z$174,25,0),0)</f>
        <v>0</v>
      </c>
      <c r="Z204" s="12">
        <f>IFERROR(VLOOKUP($D204,Population!$B$5:$Y$174,21,FALSE),0)</f>
        <v>0</v>
      </c>
      <c r="AA204" s="12">
        <f>IFERROR(VLOOKUP($D204,Population!$B$5:$Y$174,22,FALSE),0)</f>
        <v>0</v>
      </c>
      <c r="AB204" s="12">
        <f>IFERROR(VLOOKUP($D204,Population!$B$5:$Y$174,23,FALSE),0)</f>
        <v>0</v>
      </c>
      <c r="AC204" s="12">
        <f>IFERROR(VLOOKUP($D204,Population!$B$5:$Y$174,24,FALSE),0)</f>
        <v>0</v>
      </c>
    </row>
    <row r="205" spans="1:29" ht="15" x14ac:dyDescent="0.25">
      <c r="A205" s="2" t="s">
        <v>22</v>
      </c>
      <c r="B205" s="2" t="s">
        <v>678</v>
      </c>
      <c r="C205" s="2" t="s">
        <v>142</v>
      </c>
      <c r="D205" s="2">
        <v>10141</v>
      </c>
      <c r="E205" s="11">
        <v>2022</v>
      </c>
      <c r="F205" s="12">
        <f>VLOOKUP($D205,'2022Data to Complete Appendix C'!$C$8:$Q$313,2,FALSE)</f>
        <v>491</v>
      </c>
      <c r="G205" s="12">
        <f>VLOOKUP($D205,'2022Data to Complete Appendix C'!$C$8:$Q$313,3,FALSE)</f>
        <v>175</v>
      </c>
      <c r="H205" s="12">
        <f>VLOOKUP($D205,'2022Data to Complete Appendix C'!$C$8:$Q$313,4,FALSE)</f>
        <v>0</v>
      </c>
      <c r="I205" s="12">
        <f>VLOOKUP($D205,'2022Data to Complete Appendix C'!$C$8:$Q$313,5,FALSE)</f>
        <v>349</v>
      </c>
      <c r="J205" s="114">
        <f>VLOOKUP($D205,'2022Data to Complete Appendix C'!$C$8:$Q$313,6,FALSE)</f>
        <v>2.8057099999999999</v>
      </c>
      <c r="K205" s="114">
        <f>VLOOKUP($D205,'2022Data to Complete Appendix C'!$C$8:$Q$313,7,FALSE)</f>
        <v>1.95</v>
      </c>
      <c r="L205" s="114">
        <f>VLOOKUP($D205,'2022Data to Complete Appendix C'!$C$8:$Q$313,8,FALSE)</f>
        <v>1.1217299999999999</v>
      </c>
      <c r="M205" s="12">
        <f>VLOOKUP($D205,'2022Data to Complete Appendix C'!$C$8:$Q$313,9,FALSE)</f>
        <v>30.650700000000001</v>
      </c>
      <c r="N205" s="114">
        <f>VLOOKUP($D205,'2022Data to Complete Appendix C'!$C$8:$Q$313,10,FALSE)</f>
        <v>0.14904300000000001</v>
      </c>
      <c r="O205" s="115">
        <f>VLOOKUP($D205,'2022Data to Complete Appendix C'!$C$8:$Q$313,11,FALSE)</f>
        <v>0.56699999999999995</v>
      </c>
      <c r="P205" s="115">
        <f>VLOOKUP($D205,'2022Data to Complete Appendix C'!$C$8:$Q$313,12,FALSE)</f>
        <v>0.772675</v>
      </c>
      <c r="Q205" s="115">
        <f>VLOOKUP($D205,'2022Data to Complete Appendix C'!$C$8:$Q$313,13,FALSE)</f>
        <v>0.65200000000000002</v>
      </c>
      <c r="R205" s="114">
        <f>VLOOKUP($D205,'2022Data to Complete Appendix C'!$C$8:$Q$313,14,FALSE)</f>
        <v>2.2999999999999998</v>
      </c>
      <c r="S205" s="115">
        <f>VLOOKUP($D205,'2022Data to Complete Appendix C'!$C$8:$Q$313,15,FALSE)</f>
        <v>-0.65917300000000001</v>
      </c>
      <c r="T205" s="12">
        <f>IFERROR(VLOOKUP($D205,'2022LodgingbyWUP'!$A$1:$D$98,4,FALSE),0)</f>
        <v>0</v>
      </c>
      <c r="U205" s="12">
        <f t="shared" si="5"/>
        <v>0</v>
      </c>
      <c r="V205" s="12" t="str">
        <f>IFERROR(VLOOKUP($D205,Total_DU!$B$5:$Z$174,22,0),0)</f>
        <v>NA</v>
      </c>
      <c r="W205" s="12" t="str">
        <f>IFERROR(VLOOKUP($D205,Total_DU!$B$5:$Z$174,23,0),0)</f>
        <v>NA</v>
      </c>
      <c r="X205" s="12" t="str">
        <f>IFERROR(VLOOKUP($D205,Total_DU!$B$5:$Z$174,24,0),0)</f>
        <v>NA</v>
      </c>
      <c r="Y205" s="12">
        <f>IFERROR(VLOOKUP($D205,Total_DU!$B$5:$Z$174,25,0),0)</f>
        <v>145</v>
      </c>
      <c r="Z205" s="12">
        <f>IFERROR(VLOOKUP($D205,Population!$B$5:$Y$174,21,FALSE),0)</f>
        <v>0</v>
      </c>
      <c r="AA205" s="12" t="str">
        <f>IFERROR(VLOOKUP($D205,Population!$B$5:$Y$174,22,FALSE),0)</f>
        <v>NA</v>
      </c>
      <c r="AB205" s="12">
        <f>IFERROR(VLOOKUP($D205,Population!$B$5:$Y$174,23,FALSE),0)</f>
        <v>653.02570778759548</v>
      </c>
      <c r="AC205" s="12">
        <f>IFERROR(VLOOKUP($D205,Population!$B$5:$Y$174,24,FALSE),0)</f>
        <v>379</v>
      </c>
    </row>
    <row r="206" spans="1:29" ht="15" x14ac:dyDescent="0.25">
      <c r="A206" s="2" t="s">
        <v>22</v>
      </c>
      <c r="B206" s="2" t="s">
        <v>915</v>
      </c>
      <c r="C206" s="2" t="s">
        <v>916</v>
      </c>
      <c r="D206" s="2">
        <v>12800</v>
      </c>
      <c r="E206" s="11">
        <v>2022</v>
      </c>
      <c r="F206" s="12">
        <f>VLOOKUP($D206,'2022Data to Complete Appendix C'!$C$8:$Q$313,2,FALSE)</f>
        <v>144</v>
      </c>
      <c r="G206" s="12">
        <f>VLOOKUP($D206,'2022Data to Complete Appendix C'!$C$8:$Q$313,3,FALSE)</f>
        <v>43</v>
      </c>
      <c r="H206" s="12">
        <f>VLOOKUP($D206,'2022Data to Complete Appendix C'!$C$8:$Q$313,4,FALSE)</f>
        <v>0</v>
      </c>
      <c r="I206" s="12">
        <f>VLOOKUP($D206,'2022Data to Complete Appendix C'!$C$8:$Q$313,5,FALSE)</f>
        <v>49</v>
      </c>
      <c r="J206" s="114">
        <f>VLOOKUP($D206,'2022Data to Complete Appendix C'!$C$8:$Q$313,6,FALSE)</f>
        <v>3.34884</v>
      </c>
      <c r="K206" s="114">
        <f>VLOOKUP($D206,'2022Data to Complete Appendix C'!$C$8:$Q$313,7,FALSE)</f>
        <v>1.95</v>
      </c>
      <c r="L206" s="114">
        <f>VLOOKUP($D206,'2022Data to Complete Appendix C'!$C$8:$Q$313,8,FALSE)</f>
        <v>1.22095</v>
      </c>
      <c r="M206" s="12">
        <f>VLOOKUP($D206,'2022Data to Complete Appendix C'!$C$8:$Q$313,9,FALSE)</f>
        <v>16.316500000000001</v>
      </c>
      <c r="N206" s="114">
        <f>VLOOKUP($D206,'2022Data to Complete Appendix C'!$C$8:$Q$313,10,FALSE)</f>
        <v>0.27507599999999999</v>
      </c>
      <c r="O206" s="115">
        <f>VLOOKUP($D206,'2022Data to Complete Appendix C'!$C$8:$Q$313,11,FALSE)</f>
        <v>0.56699999999999995</v>
      </c>
      <c r="P206" s="115">
        <f>VLOOKUP($D206,'2022Data to Complete Appendix C'!$C$8:$Q$313,12,FALSE)</f>
        <v>0.772675</v>
      </c>
      <c r="Q206" s="115">
        <f>VLOOKUP($D206,'2022Data to Complete Appendix C'!$C$8:$Q$313,13,FALSE)</f>
        <v>0.65200000000000002</v>
      </c>
      <c r="R206" s="114">
        <f>VLOOKUP($D206,'2022Data to Complete Appendix C'!$C$8:$Q$313,14,FALSE)</f>
        <v>2.2999999999999998</v>
      </c>
      <c r="S206" s="115">
        <f>VLOOKUP($D206,'2022Data to Complete Appendix C'!$C$8:$Q$313,15,FALSE)</f>
        <v>0.43300899999999998</v>
      </c>
      <c r="T206" s="12">
        <f>IFERROR(VLOOKUP($D206,'2022LodgingbyWUP'!$A$1:$D$98,4,FALSE),0)</f>
        <v>3</v>
      </c>
      <c r="U206" s="12">
        <f t="shared" ref="U206" si="6">IF(T206&gt;0,T206*Q206*R206,0)</f>
        <v>4.4987999999999992</v>
      </c>
      <c r="V206" s="12">
        <f>IFERROR(VLOOKUP($D206,Total_DU!$B$5:$Z$174,22,0),0)</f>
        <v>166</v>
      </c>
      <c r="W206" s="12">
        <f>IFERROR(VLOOKUP($D206,Total_DU!$B$5:$Z$174,23,0),0)</f>
        <v>353</v>
      </c>
      <c r="X206" s="12">
        <f>IFERROR(VLOOKUP($D206,Total_DU!$B$5:$Z$174,24,0),0)</f>
        <v>391</v>
      </c>
      <c r="Y206" s="12">
        <f>IFERROR(VLOOKUP($D206,Total_DU!$B$5:$Z$174,25,0),0)</f>
        <v>759</v>
      </c>
      <c r="Z206" s="12">
        <f>IFERROR(VLOOKUP($D206,Population!$B$5:$Y$174,21,FALSE),0)</f>
        <v>488.90633319499273</v>
      </c>
      <c r="AA206" s="12">
        <f>IFERROR(VLOOKUP($D206,Population!$B$5:$Y$174,22,FALSE),0)</f>
        <v>1039.6622627580266</v>
      </c>
      <c r="AB206" s="12">
        <f>IFERROR(VLOOKUP($D206,Population!$B$5:$Y$174,23,FALSE),0)</f>
        <v>1151.5805845447783</v>
      </c>
      <c r="AC206" s="12">
        <f>IFERROR(VLOOKUP($D206,Population!$B$5:$Y$174,24,FALSE),0)</f>
        <v>2235</v>
      </c>
    </row>
    <row r="207" spans="1:29" ht="15" x14ac:dyDescent="0.25">
      <c r="A207" s="11" t="s">
        <v>22</v>
      </c>
      <c r="B207" s="11" t="s">
        <v>679</v>
      </c>
      <c r="C207" s="11" t="s">
        <v>489</v>
      </c>
      <c r="D207" s="11">
        <v>12964</v>
      </c>
      <c r="E207" s="11">
        <v>2022</v>
      </c>
      <c r="F207" s="12">
        <f>VLOOKUP($D207,'2022Data to Complete Appendix C'!$C$8:$Q$313,2,FALSE)</f>
        <v>1736</v>
      </c>
      <c r="G207" s="12">
        <f>VLOOKUP($D207,'2022Data to Complete Appendix C'!$C$8:$Q$313,3,FALSE)</f>
        <v>547</v>
      </c>
      <c r="H207" s="12">
        <f>VLOOKUP($D207,'2022Data to Complete Appendix C'!$C$8:$Q$313,4,FALSE)</f>
        <v>0</v>
      </c>
      <c r="I207" s="12">
        <f>VLOOKUP($D207,'2022Data to Complete Appendix C'!$C$8:$Q$313,5,FALSE)</f>
        <v>606</v>
      </c>
      <c r="J207" s="114">
        <f>VLOOKUP($D207,'2022Data to Complete Appendix C'!$C$8:$Q$313,6,FALSE)</f>
        <v>3.17367</v>
      </c>
      <c r="K207" s="114">
        <f>VLOOKUP($D207,'2022Data to Complete Appendix C'!$C$8:$Q$313,7,FALSE)</f>
        <v>1.95</v>
      </c>
      <c r="L207" s="114">
        <f>VLOOKUP($D207,'2022Data to Complete Appendix C'!$C$8:$Q$313,8,FALSE)</f>
        <v>1.07056</v>
      </c>
      <c r="M207" s="12">
        <f>VLOOKUP($D207,'2022Data to Complete Appendix C'!$C$8:$Q$313,9,FALSE)</f>
        <v>62.817399999999999</v>
      </c>
      <c r="N207" s="114">
        <f>VLOOKUP($D207,'2022Data to Complete Appendix C'!$C$8:$Q$313,10,FALSE)</f>
        <v>0.10301</v>
      </c>
      <c r="O207" s="115">
        <f>VLOOKUP($D207,'2022Data to Complete Appendix C'!$C$8:$Q$313,11,FALSE)</f>
        <v>0.56699999999999995</v>
      </c>
      <c r="P207" s="115">
        <f>VLOOKUP($D207,'2022Data to Complete Appendix C'!$C$8:$Q$313,12,FALSE)</f>
        <v>0.772675</v>
      </c>
      <c r="Q207" s="115">
        <f>VLOOKUP($D207,'2022Data to Complete Appendix C'!$C$8:$Q$313,13,FALSE)</f>
        <v>0.65200000000000002</v>
      </c>
      <c r="R207" s="114">
        <f>VLOOKUP($D207,'2022Data to Complete Appendix C'!$C$8:$Q$313,14,FALSE)</f>
        <v>2.2999999999999998</v>
      </c>
      <c r="S207" s="115">
        <f>VLOOKUP($D207,'2022Data to Complete Appendix C'!$C$8:$Q$313,15,FALSE)</f>
        <v>6.9822800000000004E-3</v>
      </c>
      <c r="T207" s="12">
        <f>IFERROR(VLOOKUP($D207,'2022LodgingbyWUP'!$A$1:$D$98,4,FALSE),0)</f>
        <v>0</v>
      </c>
      <c r="U207" s="12">
        <f t="shared" si="5"/>
        <v>0</v>
      </c>
      <c r="V207" s="12" t="str">
        <f>IFERROR(VLOOKUP($D207,Total_DU!$B$5:$Z$174,22,0),0)</f>
        <v>NA</v>
      </c>
      <c r="W207" s="12" t="str">
        <f>IFERROR(VLOOKUP($D207,Total_DU!$B$5:$Z$174,23,0),0)</f>
        <v>NA</v>
      </c>
      <c r="X207" s="12" t="str">
        <f>IFERROR(VLOOKUP($D207,Total_DU!$B$5:$Z$174,24,0),0)</f>
        <v>NA</v>
      </c>
      <c r="Y207" s="12" t="str">
        <f>IFERROR(VLOOKUP($D207,Total_DU!$B$5:$Z$174,25,0),0)</f>
        <v>NA</v>
      </c>
      <c r="Z207" s="12" t="str">
        <f>IFERROR(VLOOKUP($D207,Population!$B$5:$Y$174,21,FALSE),0)</f>
        <v>NA</v>
      </c>
      <c r="AA207" s="12" t="str">
        <f>IFERROR(VLOOKUP($D207,Population!$B$5:$Y$174,22,FALSE),0)</f>
        <v>NA</v>
      </c>
      <c r="AB207" s="12" t="str">
        <f>IFERROR(VLOOKUP($D207,Population!$B$5:$Y$174,23,FALSE),0)</f>
        <v>NA</v>
      </c>
      <c r="AC207" s="12" t="str">
        <f>IFERROR(VLOOKUP($D207,Population!$B$5:$Y$174,24,FALSE),0)</f>
        <v>NA</v>
      </c>
    </row>
    <row r="208" spans="1:29" ht="15" x14ac:dyDescent="0.25">
      <c r="A208" s="2" t="s">
        <v>22</v>
      </c>
      <c r="B208" s="2" t="s">
        <v>680</v>
      </c>
      <c r="C208" s="2" t="s">
        <v>482</v>
      </c>
      <c r="D208" s="2">
        <v>13043</v>
      </c>
      <c r="E208" s="11">
        <v>2022</v>
      </c>
      <c r="F208" s="12">
        <f>VLOOKUP($D208,'2022Data to Complete Appendix C'!$C$8:$Q$313,2,FALSE)</f>
        <v>2494</v>
      </c>
      <c r="G208" s="12">
        <f>VLOOKUP($D208,'2022Data to Complete Appendix C'!$C$8:$Q$313,3,FALSE)</f>
        <v>1317</v>
      </c>
      <c r="H208" s="12">
        <f>VLOOKUP($D208,'2022Data to Complete Appendix C'!$C$8:$Q$313,4,FALSE)</f>
        <v>0</v>
      </c>
      <c r="I208" s="12">
        <f>VLOOKUP($D208,'2022Data to Complete Appendix C'!$C$8:$Q$313,5,FALSE)</f>
        <v>1677</v>
      </c>
      <c r="J208" s="114">
        <f>VLOOKUP($D208,'2022Data to Complete Appendix C'!$C$8:$Q$313,6,FALSE)</f>
        <v>1.8936999999999999</v>
      </c>
      <c r="K208" s="114">
        <f>VLOOKUP($D208,'2022Data to Complete Appendix C'!$C$8:$Q$313,7,FALSE)</f>
        <v>1.95</v>
      </c>
      <c r="L208" s="114">
        <f>VLOOKUP($D208,'2022Data to Complete Appendix C'!$C$8:$Q$313,8,FALSE)</f>
        <v>1.05646</v>
      </c>
      <c r="M208" s="12">
        <f>VLOOKUP($D208,'2022Data to Complete Appendix C'!$C$8:$Q$313,9,FALSE)</f>
        <v>72.212199999999996</v>
      </c>
      <c r="N208" s="114">
        <f>VLOOKUP($D208,'2022Data to Complete Appendix C'!$C$8:$Q$313,10,FALSE)</f>
        <v>5.1980699999999998E-2</v>
      </c>
      <c r="O208" s="115">
        <f>VLOOKUP($D208,'2022Data to Complete Appendix C'!$C$8:$Q$313,11,FALSE)</f>
        <v>0.56699999999999995</v>
      </c>
      <c r="P208" s="115">
        <f>VLOOKUP($D208,'2022Data to Complete Appendix C'!$C$8:$Q$313,12,FALSE)</f>
        <v>0.772675</v>
      </c>
      <c r="Q208" s="115">
        <f>VLOOKUP($D208,'2022Data to Complete Appendix C'!$C$8:$Q$313,13,FALSE)</f>
        <v>0.65200000000000002</v>
      </c>
      <c r="R208" s="114">
        <f>VLOOKUP($D208,'2022Data to Complete Appendix C'!$C$8:$Q$313,14,FALSE)</f>
        <v>2.2999999999999998</v>
      </c>
      <c r="S208" s="115">
        <f>VLOOKUP($D208,'2022Data to Complete Appendix C'!$C$8:$Q$313,15,FALSE)</f>
        <v>-0.487676</v>
      </c>
      <c r="T208" s="12">
        <f>IFERROR(VLOOKUP($D208,'2022LodgingbyWUP'!$A$1:$D$98,4,FALSE),0)</f>
        <v>0</v>
      </c>
      <c r="U208" s="12">
        <f t="shared" si="5"/>
        <v>0</v>
      </c>
      <c r="V208" s="12">
        <f>IFERROR(VLOOKUP($D208,Total_DU!$B$5:$Z$174,22,0),0)</f>
        <v>1601</v>
      </c>
      <c r="W208" s="12">
        <f>IFERROR(VLOOKUP($D208,Total_DU!$B$5:$Z$174,23,0),0)</f>
        <v>1596</v>
      </c>
      <c r="X208" s="12">
        <f>IFERROR(VLOOKUP($D208,Total_DU!$B$5:$Z$174,24,0),0)</f>
        <v>1604</v>
      </c>
      <c r="Y208" s="12">
        <f>IFERROR(VLOOKUP($D208,Total_DU!$B$5:$Z$174,25,0),0)</f>
        <v>1604</v>
      </c>
      <c r="Z208" s="12">
        <f>IFERROR(VLOOKUP($D208,Population!$B$5:$Y$174,21,FALSE),0)</f>
        <v>3000</v>
      </c>
      <c r="AA208" s="12">
        <f>IFERROR(VLOOKUP($D208,Population!$B$5:$Y$174,22,FALSE),0)</f>
        <v>2990.2411206665124</v>
      </c>
      <c r="AB208" s="12">
        <f>IFERROR(VLOOKUP($D208,Population!$B$5:$Y$174,23,FALSE),0)</f>
        <v>3005.2298036632042</v>
      </c>
      <c r="AC208" s="12">
        <f>IFERROR(VLOOKUP($D208,Population!$B$5:$Y$174,24,FALSE),0)</f>
        <v>3005</v>
      </c>
    </row>
    <row r="209" spans="1:29" ht="15" x14ac:dyDescent="0.25">
      <c r="A209" s="11" t="s">
        <v>22</v>
      </c>
      <c r="B209" s="11" t="s">
        <v>681</v>
      </c>
      <c r="C209" s="11" t="s">
        <v>152</v>
      </c>
      <c r="D209" s="11">
        <v>99905</v>
      </c>
      <c r="E209" s="11">
        <v>2022</v>
      </c>
      <c r="F209" s="12">
        <f>VLOOKUP($D209,'2022Data to Complete Appendix C'!$C$8:$Q$313,2,FALSE)</f>
        <v>4324</v>
      </c>
      <c r="G209" s="12">
        <f>VLOOKUP($D209,'2022Data to Complete Appendix C'!$C$8:$Q$313,3,FALSE)</f>
        <v>1675</v>
      </c>
      <c r="H209" s="12">
        <f>VLOOKUP($D209,'2022Data to Complete Appendix C'!$C$8:$Q$313,4,FALSE)</f>
        <v>0</v>
      </c>
      <c r="I209" s="12">
        <f>VLOOKUP($D209,'2022Data to Complete Appendix C'!$C$8:$Q$313,5,FALSE)</f>
        <v>1962</v>
      </c>
      <c r="J209" s="114">
        <f>VLOOKUP($D209,'2022Data to Complete Appendix C'!$C$8:$Q$313,6,FALSE)</f>
        <v>2.5814900000000001</v>
      </c>
      <c r="K209" s="114">
        <f>VLOOKUP($D209,'2022Data to Complete Appendix C'!$C$8:$Q$313,7,FALSE)</f>
        <v>1.95</v>
      </c>
      <c r="L209" s="114">
        <f>VLOOKUP($D209,'2022Data to Complete Appendix C'!$C$8:$Q$313,8,FALSE)</f>
        <v>1.06071</v>
      </c>
      <c r="M209" s="12">
        <f>VLOOKUP($D209,'2022Data to Complete Appendix C'!$C$8:$Q$313,9,FALSE)</f>
        <v>134.625</v>
      </c>
      <c r="N209" s="114">
        <f>VLOOKUP($D209,'2022Data to Complete Appendix C'!$C$8:$Q$313,10,FALSE)</f>
        <v>7.4393899999999999E-2</v>
      </c>
      <c r="O209" s="115">
        <f>VLOOKUP($D209,'2022Data to Complete Appendix C'!$C$8:$Q$313,11,FALSE)</f>
        <v>0.56699999999999995</v>
      </c>
      <c r="P209" s="115">
        <f>VLOOKUP($D209,'2022Data to Complete Appendix C'!$C$8:$Q$313,12,FALSE)</f>
        <v>0.772675</v>
      </c>
      <c r="Q209" s="115">
        <f>VLOOKUP($D209,'2022Data to Complete Appendix C'!$C$8:$Q$313,13,FALSE)</f>
        <v>0.65200000000000002</v>
      </c>
      <c r="R209" s="114">
        <f>VLOOKUP($D209,'2022Data to Complete Appendix C'!$C$8:$Q$313,14,FALSE)</f>
        <v>2.2999999999999998</v>
      </c>
      <c r="S209" s="115">
        <f>VLOOKUP($D209,'2022Data to Complete Appendix C'!$C$8:$Q$313,15,FALSE)</f>
        <v>0.61194400000000004</v>
      </c>
      <c r="T209" s="12">
        <f>IFERROR(VLOOKUP($D209,'2022LodgingbyWUP'!$A$1:$D$98,4,FALSE),0)</f>
        <v>0</v>
      </c>
      <c r="U209" s="12">
        <f t="shared" si="5"/>
        <v>0</v>
      </c>
      <c r="V209" s="12">
        <f>IFERROR(VLOOKUP($D209,Total_DU!$B$5:$Z$174,22,0),0)</f>
        <v>0</v>
      </c>
      <c r="W209" s="12">
        <f>IFERROR(VLOOKUP($D209,Total_DU!$B$5:$Z$174,23,0),0)</f>
        <v>0</v>
      </c>
      <c r="X209" s="12">
        <f>IFERROR(VLOOKUP($D209,Total_DU!$B$5:$Z$174,24,0),0)</f>
        <v>0</v>
      </c>
      <c r="Y209" s="12">
        <f>IFERROR(VLOOKUP($D209,Total_DU!$B$5:$Z$174,25,0),0)</f>
        <v>0</v>
      </c>
      <c r="Z209" s="12">
        <f>IFERROR(VLOOKUP($D209,Population!$B$5:$Y$174,21,FALSE),0)</f>
        <v>0</v>
      </c>
      <c r="AA209" s="12">
        <f>IFERROR(VLOOKUP($D209,Population!$B$5:$Y$174,22,FALSE),0)</f>
        <v>0</v>
      </c>
      <c r="AB209" s="12">
        <f>IFERROR(VLOOKUP($D209,Population!$B$5:$Y$174,23,FALSE),0)</f>
        <v>0</v>
      </c>
      <c r="AC209" s="12">
        <f>IFERROR(VLOOKUP($D209,Population!$B$5:$Y$174,24,FALSE),0)</f>
        <v>0</v>
      </c>
    </row>
    <row r="210" spans="1:29" ht="15" x14ac:dyDescent="0.25">
      <c r="A210" s="2" t="s">
        <v>33</v>
      </c>
      <c r="B210" s="2" t="s">
        <v>682</v>
      </c>
      <c r="C210" s="2" t="s">
        <v>77</v>
      </c>
      <c r="D210" s="2">
        <v>2923</v>
      </c>
      <c r="E210" s="11">
        <v>2022</v>
      </c>
      <c r="F210" s="12">
        <f>VLOOKUP($D210,'2022Data to Complete Appendix C'!$C$8:$Q$313,2,FALSE)</f>
        <v>65330</v>
      </c>
      <c r="G210" s="12">
        <f>VLOOKUP($D210,'2022Data to Complete Appendix C'!$C$8:$Q$313,3,FALSE)</f>
        <v>26832</v>
      </c>
      <c r="H210" s="12">
        <f>VLOOKUP($D210,'2022Data to Complete Appendix C'!$C$8:$Q$313,4,FALSE)</f>
        <v>119</v>
      </c>
      <c r="I210" s="12">
        <f>VLOOKUP($D210,'2022Data to Complete Appendix C'!$C$8:$Q$313,5,FALSE)</f>
        <v>34235</v>
      </c>
      <c r="J210" s="114">
        <f>VLOOKUP($D210,'2022Data to Complete Appendix C'!$C$8:$Q$313,6,FALSE)</f>
        <v>2.4347799999999999</v>
      </c>
      <c r="K210" s="114">
        <f>VLOOKUP($D210,'2022Data to Complete Appendix C'!$C$8:$Q$313,7,FALSE)</f>
        <v>1.95</v>
      </c>
      <c r="L210" s="114">
        <f>VLOOKUP($D210,'2022Data to Complete Appendix C'!$C$8:$Q$313,8,FALSE)</f>
        <v>1.0814999999999999</v>
      </c>
      <c r="M210" s="12">
        <f>VLOOKUP($D210,'2022Data to Complete Appendix C'!$C$8:$Q$313,9,FALSE)</f>
        <v>2730.56</v>
      </c>
      <c r="N210" s="114">
        <f>VLOOKUP($D210,'2022Data to Complete Appendix C'!$C$8:$Q$313,10,FALSE)</f>
        <v>9.2365500000000003E-2</v>
      </c>
      <c r="O210" s="115">
        <f>VLOOKUP($D210,'2022Data to Complete Appendix C'!$C$8:$Q$313,11,FALSE)</f>
        <v>0.442</v>
      </c>
      <c r="P210" s="115">
        <f>VLOOKUP($D210,'2022Data to Complete Appendix C'!$C$8:$Q$313,12,FALSE)</f>
        <v>0.70704999999999996</v>
      </c>
      <c r="Q210" s="115">
        <f>VLOOKUP($D210,'2022Data to Complete Appendix C'!$C$8:$Q$313,13,FALSE)</f>
        <v>0.67700000000000005</v>
      </c>
      <c r="R210" s="114">
        <f>VLOOKUP($D210,'2022Data to Complete Appendix C'!$C$8:$Q$313,14,FALSE)</f>
        <v>2.7</v>
      </c>
      <c r="S210" s="115">
        <f>VLOOKUP($D210,'2022Data to Complete Appendix C'!$C$8:$Q$313,15,FALSE)</f>
        <v>-0.35104099999999999</v>
      </c>
      <c r="T210" s="12">
        <f>IFERROR(VLOOKUP($D210,'2022LodgingbyWUP'!$A$1:$D$98,4,FALSE),0)</f>
        <v>233</v>
      </c>
      <c r="U210" s="12">
        <f t="shared" si="5"/>
        <v>425.90070000000009</v>
      </c>
      <c r="V210" s="12">
        <f>IFERROR(VLOOKUP($D210,Total_DU!$B$5:$Z$174,22,0),0)</f>
        <v>22770</v>
      </c>
      <c r="W210" s="12">
        <f>IFERROR(VLOOKUP($D210,Total_DU!$B$5:$Z$174,23,0),0)</f>
        <v>24186</v>
      </c>
      <c r="X210" s="12">
        <f>IFERROR(VLOOKUP($D210,Total_DU!$B$5:$Z$174,24,0),0)</f>
        <v>24114</v>
      </c>
      <c r="Y210" s="12">
        <f>IFERROR(VLOOKUP($D210,Total_DU!$B$5:$Z$174,25,0),0)</f>
        <v>24958</v>
      </c>
      <c r="Z210" s="12">
        <f>IFERROR(VLOOKUP($D210,Population!$B$5:$Y$174,21,FALSE),0)</f>
        <v>53453.13333587737</v>
      </c>
      <c r="AA210" s="12">
        <f>IFERROR(VLOOKUP($D210,Population!$B$5:$Y$174,22,FALSE),0)</f>
        <v>56756.333451666978</v>
      </c>
      <c r="AB210" s="12">
        <f>IFERROR(VLOOKUP($D210,Population!$B$5:$Y$174,23,FALSE),0)</f>
        <v>56768.871464908763</v>
      </c>
      <c r="AC210" s="12">
        <f>IFERROR(VLOOKUP($D210,Population!$B$5:$Y$174,24,FALSE),0)</f>
        <v>58702</v>
      </c>
    </row>
    <row r="211" spans="1:29" ht="15" x14ac:dyDescent="0.25">
      <c r="A211" s="11" t="s">
        <v>33</v>
      </c>
      <c r="B211" s="11" t="s">
        <v>683</v>
      </c>
      <c r="C211" s="11" t="s">
        <v>84</v>
      </c>
      <c r="D211" s="11">
        <v>4318</v>
      </c>
      <c r="E211" s="11">
        <v>2022</v>
      </c>
      <c r="F211" s="12">
        <f>VLOOKUP($D211,'2022Data to Complete Appendix C'!$C$8:$Q$313,2,FALSE)</f>
        <v>50847</v>
      </c>
      <c r="G211" s="12">
        <f>VLOOKUP($D211,'2022Data to Complete Appendix C'!$C$8:$Q$313,3,FALSE)</f>
        <v>24413</v>
      </c>
      <c r="H211" s="12">
        <f>VLOOKUP($D211,'2022Data to Complete Appendix C'!$C$8:$Q$313,4,FALSE)</f>
        <v>3788</v>
      </c>
      <c r="I211" s="12">
        <f>VLOOKUP($D211,'2022Data to Complete Appendix C'!$C$8:$Q$313,5,FALSE)</f>
        <v>30642</v>
      </c>
      <c r="J211" s="114">
        <f>VLOOKUP($D211,'2022Data to Complete Appendix C'!$C$8:$Q$313,6,FALSE)</f>
        <v>2.0827800000000001</v>
      </c>
      <c r="K211" s="114">
        <f>VLOOKUP($D211,'2022Data to Complete Appendix C'!$C$8:$Q$313,7,FALSE)</f>
        <v>1.95</v>
      </c>
      <c r="L211" s="114">
        <f>VLOOKUP($D211,'2022Data to Complete Appendix C'!$C$8:$Q$313,8,FALSE)</f>
        <v>1.0527299999999999</v>
      </c>
      <c r="M211" s="12">
        <f>VLOOKUP($D211,'2022Data to Complete Appendix C'!$C$8:$Q$313,9,FALSE)</f>
        <v>1374.82</v>
      </c>
      <c r="N211" s="114">
        <f>VLOOKUP($D211,'2022Data to Complete Appendix C'!$C$8:$Q$313,10,FALSE)</f>
        <v>5.3312900000000003E-2</v>
      </c>
      <c r="O211" s="115">
        <f>VLOOKUP($D211,'2022Data to Complete Appendix C'!$C$8:$Q$313,11,FALSE)</f>
        <v>0.442</v>
      </c>
      <c r="P211" s="115">
        <f>VLOOKUP($D211,'2022Data to Complete Appendix C'!$C$8:$Q$313,12,FALSE)</f>
        <v>0.70704999999999996</v>
      </c>
      <c r="Q211" s="115">
        <f>VLOOKUP($D211,'2022Data to Complete Appendix C'!$C$8:$Q$313,13,FALSE)</f>
        <v>0.67700000000000005</v>
      </c>
      <c r="R211" s="114">
        <f>VLOOKUP($D211,'2022Data to Complete Appendix C'!$C$8:$Q$313,14,FALSE)</f>
        <v>2.7</v>
      </c>
      <c r="S211" s="115">
        <f>VLOOKUP($D211,'2022Data to Complete Appendix C'!$C$8:$Q$313,15,FALSE)</f>
        <v>0.89852200000000004</v>
      </c>
      <c r="T211" s="12">
        <f>IFERROR(VLOOKUP($D211,'2022LodgingbyWUP'!$A$1:$D$98,4,FALSE),0)</f>
        <v>0</v>
      </c>
      <c r="U211" s="12">
        <f t="shared" si="5"/>
        <v>0</v>
      </c>
      <c r="V211" s="12">
        <f>IFERROR(VLOOKUP($D211,Total_DU!$B$5:$Z$174,22,0),0)</f>
        <v>33024</v>
      </c>
      <c r="W211" s="12">
        <f>IFERROR(VLOOKUP($D211,Total_DU!$B$5:$Z$174,23,0),0)</f>
        <v>32792</v>
      </c>
      <c r="X211" s="12">
        <f>IFERROR(VLOOKUP($D211,Total_DU!$B$5:$Z$174,24,0),0)</f>
        <v>33066</v>
      </c>
      <c r="Y211" s="12">
        <f>IFERROR(VLOOKUP($D211,Total_DU!$B$5:$Z$174,25,0),0)</f>
        <v>33105</v>
      </c>
      <c r="Z211" s="12">
        <f>IFERROR(VLOOKUP($D211,Population!$B$5:$Y$174,21,FALSE),0)</f>
        <v>85579.087814014914</v>
      </c>
      <c r="AA211" s="12">
        <f>IFERROR(VLOOKUP($D211,Population!$B$5:$Y$174,22,FALSE),0)</f>
        <v>84548.839770243212</v>
      </c>
      <c r="AB211" s="12">
        <f>IFERROR(VLOOKUP($D211,Population!$B$5:$Y$174,23,FALSE),0)</f>
        <v>85511.927649993639</v>
      </c>
      <c r="AC211" s="12" t="str">
        <f>IFERROR(VLOOKUP($D211,Population!$B$5:$Y$174,24,FALSE),0)</f>
        <v>NA</v>
      </c>
    </row>
    <row r="212" spans="1:29" ht="15" x14ac:dyDescent="0.25">
      <c r="A212" s="2" t="s">
        <v>33</v>
      </c>
      <c r="B212" s="2" t="s">
        <v>684</v>
      </c>
      <c r="C212" s="2" t="s">
        <v>4</v>
      </c>
      <c r="D212" s="2">
        <v>4866</v>
      </c>
      <c r="E212" s="11">
        <v>2022</v>
      </c>
      <c r="F212" s="12">
        <f>VLOOKUP($D212,'2022Data to Complete Appendix C'!$C$8:$Q$313,2,FALSE)</f>
        <v>25912</v>
      </c>
      <c r="G212" s="12">
        <f>VLOOKUP($D212,'2022Data to Complete Appendix C'!$C$8:$Q$313,3,FALSE)</f>
        <v>13594</v>
      </c>
      <c r="H212" s="12">
        <f>VLOOKUP($D212,'2022Data to Complete Appendix C'!$C$8:$Q$313,4,FALSE)</f>
        <v>118</v>
      </c>
      <c r="I212" s="12">
        <f>VLOOKUP($D212,'2022Data to Complete Appendix C'!$C$8:$Q$313,5,FALSE)</f>
        <v>20034</v>
      </c>
      <c r="J212" s="114">
        <f>VLOOKUP($D212,'2022Data to Complete Appendix C'!$C$8:$Q$313,6,FALSE)</f>
        <v>1.9061399999999999</v>
      </c>
      <c r="K212" s="114">
        <f>VLOOKUP($D212,'2022Data to Complete Appendix C'!$C$8:$Q$313,7,FALSE)</f>
        <v>1.95</v>
      </c>
      <c r="L212" s="114">
        <f>VLOOKUP($D212,'2022Data to Complete Appendix C'!$C$8:$Q$313,8,FALSE)</f>
        <v>1.2103699999999999</v>
      </c>
      <c r="M212" s="12">
        <f>VLOOKUP($D212,'2022Data to Complete Appendix C'!$C$8:$Q$313,9,FALSE)</f>
        <v>2795.41</v>
      </c>
      <c r="N212" s="114">
        <f>VLOOKUP($D212,'2022Data to Complete Appendix C'!$C$8:$Q$313,10,FALSE)</f>
        <v>0.17056199999999999</v>
      </c>
      <c r="O212" s="115">
        <f>VLOOKUP($D212,'2022Data to Complete Appendix C'!$C$8:$Q$313,11,FALSE)</f>
        <v>0.442</v>
      </c>
      <c r="P212" s="115">
        <f>VLOOKUP($D212,'2022Data to Complete Appendix C'!$C$8:$Q$313,12,FALSE)</f>
        <v>0.70704999999999996</v>
      </c>
      <c r="Q212" s="115">
        <f>VLOOKUP($D212,'2022Data to Complete Appendix C'!$C$8:$Q$313,13,FALSE)</f>
        <v>0.67700000000000005</v>
      </c>
      <c r="R212" s="114">
        <f>VLOOKUP($D212,'2022Data to Complete Appendix C'!$C$8:$Q$313,14,FALSE)</f>
        <v>2.7</v>
      </c>
      <c r="S212" s="115">
        <f>VLOOKUP($D212,'2022Data to Complete Appendix C'!$C$8:$Q$313,15,FALSE)</f>
        <v>-7.52911E-2</v>
      </c>
      <c r="T212" s="12">
        <f>IFERROR(VLOOKUP($D212,'2022LodgingbyWUP'!$A$1:$D$98,4,FALSE),0)</f>
        <v>0</v>
      </c>
      <c r="U212" s="12">
        <f t="shared" si="5"/>
        <v>0</v>
      </c>
      <c r="V212" s="12">
        <f>IFERROR(VLOOKUP($D212,Total_DU!$B$5:$Z$174,22,0),0)</f>
        <v>19687</v>
      </c>
      <c r="W212" s="12">
        <f>IFERROR(VLOOKUP($D212,Total_DU!$B$5:$Z$174,23,0),0)</f>
        <v>19874</v>
      </c>
      <c r="X212" s="12">
        <f>IFERROR(VLOOKUP($D212,Total_DU!$B$5:$Z$174,24,0),0)</f>
        <v>19953</v>
      </c>
      <c r="Y212" s="12">
        <f>IFERROR(VLOOKUP($D212,Total_DU!$B$5:$Z$174,25,0),0)</f>
        <v>20201</v>
      </c>
      <c r="Z212" s="12">
        <f>IFERROR(VLOOKUP($D212,Population!$B$5:$Y$174,21,FALSE),0)</f>
        <v>37213.654975957295</v>
      </c>
      <c r="AA212" s="12">
        <f>IFERROR(VLOOKUP($D212,Population!$B$5:$Y$174,22,FALSE),0)</f>
        <v>37540.087540393841</v>
      </c>
      <c r="AB212" s="12">
        <f>IFERROR(VLOOKUP($D212,Population!$B$5:$Y$174,23,FALSE),0)</f>
        <v>38271.291017509946</v>
      </c>
      <c r="AC212" s="12">
        <f>IFERROR(VLOOKUP($D212,Population!$B$5:$Y$174,24,FALSE),0)</f>
        <v>38260</v>
      </c>
    </row>
    <row r="213" spans="1:29" ht="15" x14ac:dyDescent="0.25">
      <c r="A213" s="11" t="s">
        <v>33</v>
      </c>
      <c r="B213" s="11" t="s">
        <v>685</v>
      </c>
      <c r="C213" s="11" t="s">
        <v>89</v>
      </c>
      <c r="D213" s="11">
        <v>5393</v>
      </c>
      <c r="E213" s="11">
        <v>2022</v>
      </c>
      <c r="F213" s="12">
        <f>VLOOKUP($D213,'2022Data to Complete Appendix C'!$C$8:$Q$313,2,FALSE)</f>
        <v>22457</v>
      </c>
      <c r="G213" s="12">
        <f>VLOOKUP($D213,'2022Data to Complete Appendix C'!$C$8:$Q$313,3,FALSE)</f>
        <v>12697</v>
      </c>
      <c r="H213" s="12">
        <f>VLOOKUP($D213,'2022Data to Complete Appendix C'!$C$8:$Q$313,4,FALSE)</f>
        <v>581</v>
      </c>
      <c r="I213" s="12">
        <f>VLOOKUP($D213,'2022Data to Complete Appendix C'!$C$8:$Q$313,5,FALSE)</f>
        <v>18831</v>
      </c>
      <c r="J213" s="114">
        <f>VLOOKUP($D213,'2022Data to Complete Appendix C'!$C$8:$Q$313,6,FALSE)</f>
        <v>1.7686900000000001</v>
      </c>
      <c r="K213" s="114">
        <f>VLOOKUP($D213,'2022Data to Complete Appendix C'!$C$8:$Q$313,7,FALSE)</f>
        <v>1.95</v>
      </c>
      <c r="L213" s="114">
        <f>VLOOKUP($D213,'2022Data to Complete Appendix C'!$C$8:$Q$313,8,FALSE)</f>
        <v>1.2172099999999999</v>
      </c>
      <c r="M213" s="12">
        <f>VLOOKUP($D213,'2022Data to Complete Appendix C'!$C$8:$Q$313,9,FALSE)</f>
        <v>2501.48</v>
      </c>
      <c r="N213" s="114">
        <f>VLOOKUP($D213,'2022Data to Complete Appendix C'!$C$8:$Q$313,10,FALSE)</f>
        <v>0.16458700000000001</v>
      </c>
      <c r="O213" s="115">
        <f>VLOOKUP($D213,'2022Data to Complete Appendix C'!$C$8:$Q$313,11,FALSE)</f>
        <v>0.442</v>
      </c>
      <c r="P213" s="115">
        <f>VLOOKUP($D213,'2022Data to Complete Appendix C'!$C$8:$Q$313,12,FALSE)</f>
        <v>0.70704999999999996</v>
      </c>
      <c r="Q213" s="115">
        <f>VLOOKUP($D213,'2022Data to Complete Appendix C'!$C$8:$Q$313,13,FALSE)</f>
        <v>0.67700000000000005</v>
      </c>
      <c r="R213" s="114">
        <f>VLOOKUP($D213,'2022Data to Complete Appendix C'!$C$8:$Q$313,14,FALSE)</f>
        <v>2.7</v>
      </c>
      <c r="S213" s="115">
        <f>VLOOKUP($D213,'2022Data to Complete Appendix C'!$C$8:$Q$313,15,FALSE)</f>
        <v>0.44437700000000002</v>
      </c>
      <c r="T213" s="12">
        <f>IFERROR(VLOOKUP($D213,'2022LodgingbyWUP'!$A$1:$D$98,4,FALSE),0)</f>
        <v>0</v>
      </c>
      <c r="U213" s="12">
        <f t="shared" si="5"/>
        <v>0</v>
      </c>
      <c r="V213" s="12">
        <f>IFERROR(VLOOKUP($D213,Total_DU!$B$5:$Z$174,22,0),0)</f>
        <v>18804</v>
      </c>
      <c r="W213" s="12">
        <f>IFERROR(VLOOKUP($D213,Total_DU!$B$5:$Z$174,23,0),0)</f>
        <v>19328</v>
      </c>
      <c r="X213" s="12">
        <f>IFERROR(VLOOKUP($D213,Total_DU!$B$5:$Z$174,24,0),0)</f>
        <v>19671</v>
      </c>
      <c r="Y213" s="12">
        <f>IFERROR(VLOOKUP($D213,Total_DU!$B$5:$Z$174,25,0),0)</f>
        <v>20076</v>
      </c>
      <c r="Z213" s="12">
        <f>IFERROR(VLOOKUP($D213,Population!$B$5:$Y$174,21,FALSE),0)</f>
        <v>35696.53405413311</v>
      </c>
      <c r="AA213" s="12">
        <f>IFERROR(VLOOKUP($D213,Population!$B$5:$Y$174,22,FALSE),0)</f>
        <v>36589.481301100081</v>
      </c>
      <c r="AB213" s="12">
        <f>IFERROR(VLOOKUP($D213,Population!$B$5:$Y$174,23,FALSE),0)</f>
        <v>37172.077526661778</v>
      </c>
      <c r="AC213" s="12">
        <f>IFERROR(VLOOKUP($D213,Population!$B$5:$Y$174,24,FALSE),0)</f>
        <v>37657</v>
      </c>
    </row>
    <row r="214" spans="1:29" ht="15" x14ac:dyDescent="0.25">
      <c r="A214" s="2" t="s">
        <v>33</v>
      </c>
      <c r="B214" s="2" t="s">
        <v>686</v>
      </c>
      <c r="C214" s="2" t="s">
        <v>118</v>
      </c>
      <c r="D214" s="2">
        <v>5456</v>
      </c>
      <c r="E214" s="11">
        <v>2022</v>
      </c>
      <c r="F214" s="12">
        <f>VLOOKUP($D214,'2022Data to Complete Appendix C'!$C$8:$Q$313,2,FALSE)</f>
        <v>219</v>
      </c>
      <c r="G214" s="12">
        <f>VLOOKUP($D214,'2022Data to Complete Appendix C'!$C$8:$Q$313,3,FALSE)</f>
        <v>140</v>
      </c>
      <c r="H214" s="12">
        <f>VLOOKUP($D214,'2022Data to Complete Appendix C'!$C$8:$Q$313,4,FALSE)</f>
        <v>0</v>
      </c>
      <c r="I214" s="12">
        <f>VLOOKUP($D214,'2022Data to Complete Appendix C'!$C$8:$Q$313,5,FALSE)</f>
        <v>208</v>
      </c>
      <c r="J214" s="114">
        <f>VLOOKUP($D214,'2022Data to Complete Appendix C'!$C$8:$Q$313,6,FALSE)</f>
        <v>1.56429</v>
      </c>
      <c r="K214" s="114">
        <f>VLOOKUP($D214,'2022Data to Complete Appendix C'!$C$8:$Q$313,7,FALSE)</f>
        <v>1.95</v>
      </c>
      <c r="L214" s="114">
        <f>VLOOKUP($D214,'2022Data to Complete Appendix C'!$C$8:$Q$313,8,FALSE)</f>
        <v>1.2101900000000001</v>
      </c>
      <c r="M214" s="12">
        <f>VLOOKUP($D214,'2022Data to Complete Appendix C'!$C$8:$Q$313,9,FALSE)</f>
        <v>23.606200000000001</v>
      </c>
      <c r="N214" s="114">
        <f>VLOOKUP($D214,'2022Data to Complete Appendix C'!$C$8:$Q$313,10,FALSE)</f>
        <v>0.144287</v>
      </c>
      <c r="O214" s="115">
        <f>VLOOKUP($D214,'2022Data to Complete Appendix C'!$C$8:$Q$313,11,FALSE)</f>
        <v>0.442</v>
      </c>
      <c r="P214" s="115">
        <f>VLOOKUP($D214,'2022Data to Complete Appendix C'!$C$8:$Q$313,12,FALSE)</f>
        <v>0.70704999999999996</v>
      </c>
      <c r="Q214" s="115">
        <f>VLOOKUP($D214,'2022Data to Complete Appendix C'!$C$8:$Q$313,13,FALSE)</f>
        <v>0.67700000000000005</v>
      </c>
      <c r="R214" s="114">
        <f>VLOOKUP($D214,'2022Data to Complete Appendix C'!$C$8:$Q$313,14,FALSE)</f>
        <v>2.7</v>
      </c>
      <c r="S214" s="115">
        <f>VLOOKUP($D214,'2022Data to Complete Appendix C'!$C$8:$Q$313,15,FALSE)</f>
        <v>0.42163800000000001</v>
      </c>
      <c r="T214" s="12">
        <f>IFERROR(VLOOKUP($D214,'2022LodgingbyWUP'!$A$1:$D$98,4,FALSE),0)</f>
        <v>0</v>
      </c>
      <c r="U214" s="12">
        <f t="shared" si="5"/>
        <v>0</v>
      </c>
      <c r="V214" s="12">
        <f>IFERROR(VLOOKUP($D214,Total_DU!$B$5:$Z$174,22,0),0)</f>
        <v>0</v>
      </c>
      <c r="W214" s="12">
        <f>IFERROR(VLOOKUP($D214,Total_DU!$B$5:$Z$174,23,0),0)</f>
        <v>0</v>
      </c>
      <c r="X214" s="12">
        <f>IFERROR(VLOOKUP($D214,Total_DU!$B$5:$Z$174,24,0),0)</f>
        <v>0</v>
      </c>
      <c r="Y214" s="12">
        <f>IFERROR(VLOOKUP($D214,Total_DU!$B$5:$Z$174,25,0),0)</f>
        <v>0</v>
      </c>
      <c r="Z214" s="12">
        <f>IFERROR(VLOOKUP($D214,Population!$B$5:$Y$174,21,FALSE),0)</f>
        <v>0</v>
      </c>
      <c r="AA214" s="12">
        <f>IFERROR(VLOOKUP($D214,Population!$B$5:$Y$174,22,FALSE),0)</f>
        <v>0</v>
      </c>
      <c r="AB214" s="12">
        <f>IFERROR(VLOOKUP($D214,Population!$B$5:$Y$174,23,FALSE),0)</f>
        <v>0</v>
      </c>
      <c r="AC214" s="12">
        <f>IFERROR(VLOOKUP($D214,Population!$B$5:$Y$174,24,FALSE),0)</f>
        <v>0</v>
      </c>
    </row>
    <row r="215" spans="1:29" ht="15" x14ac:dyDescent="0.25">
      <c r="A215" s="11" t="s">
        <v>33</v>
      </c>
      <c r="B215" s="11" t="s">
        <v>687</v>
      </c>
      <c r="C215" s="11" t="s">
        <v>43</v>
      </c>
      <c r="D215" s="11">
        <v>5807</v>
      </c>
      <c r="E215" s="11">
        <v>2022</v>
      </c>
      <c r="F215" s="12">
        <f>VLOOKUP($D215,'2022Data to Complete Appendix C'!$C$8:$Q$313,2,FALSE)</f>
        <v>1757</v>
      </c>
      <c r="G215" s="12">
        <f>VLOOKUP($D215,'2022Data to Complete Appendix C'!$C$8:$Q$313,3,FALSE)</f>
        <v>913</v>
      </c>
      <c r="H215" s="12">
        <f>VLOOKUP($D215,'2022Data to Complete Appendix C'!$C$8:$Q$313,4,FALSE)</f>
        <v>0</v>
      </c>
      <c r="I215" s="12">
        <f>VLOOKUP($D215,'2022Data to Complete Appendix C'!$C$8:$Q$313,5,FALSE)</f>
        <v>1243</v>
      </c>
      <c r="J215" s="114">
        <f>VLOOKUP($D215,'2022Data to Complete Appendix C'!$C$8:$Q$313,6,FALSE)</f>
        <v>1.9244300000000001</v>
      </c>
      <c r="K215" s="114">
        <f>VLOOKUP($D215,'2022Data to Complete Appendix C'!$C$8:$Q$313,7,FALSE)</f>
        <v>1.95</v>
      </c>
      <c r="L215" s="114">
        <f>VLOOKUP($D215,'2022Data to Complete Appendix C'!$C$8:$Q$313,8,FALSE)</f>
        <v>1.07361</v>
      </c>
      <c r="M215" s="12">
        <f>VLOOKUP($D215,'2022Data to Complete Appendix C'!$C$8:$Q$313,9,FALSE)</f>
        <v>66.320899999999995</v>
      </c>
      <c r="N215" s="114">
        <f>VLOOKUP($D215,'2022Data to Complete Appendix C'!$C$8:$Q$313,10,FALSE)</f>
        <v>6.7721299999999998E-2</v>
      </c>
      <c r="O215" s="115">
        <f>VLOOKUP($D215,'2022Data to Complete Appendix C'!$C$8:$Q$313,11,FALSE)</f>
        <v>0.442</v>
      </c>
      <c r="P215" s="115">
        <f>VLOOKUP($D215,'2022Data to Complete Appendix C'!$C$8:$Q$313,12,FALSE)</f>
        <v>0.70704999999999996</v>
      </c>
      <c r="Q215" s="115">
        <f>VLOOKUP($D215,'2022Data to Complete Appendix C'!$C$8:$Q$313,13,FALSE)</f>
        <v>0.67700000000000005</v>
      </c>
      <c r="R215" s="114">
        <f>VLOOKUP($D215,'2022Data to Complete Appendix C'!$C$8:$Q$313,14,FALSE)</f>
        <v>2.7</v>
      </c>
      <c r="S215" s="115">
        <f>VLOOKUP($D215,'2022Data to Complete Appendix C'!$C$8:$Q$313,15,FALSE)</f>
        <v>-0.18449399999999999</v>
      </c>
      <c r="T215" s="12">
        <f>IFERROR(VLOOKUP($D215,'2022LodgingbyWUP'!$A$1:$D$98,4,FALSE),0)</f>
        <v>0</v>
      </c>
      <c r="U215" s="12">
        <f t="shared" si="5"/>
        <v>0</v>
      </c>
      <c r="V215" s="12">
        <f>IFERROR(VLOOKUP($D215,Total_DU!$B$5:$Z$174,22,0),0)</f>
        <v>969</v>
      </c>
      <c r="W215" s="12">
        <f>IFERROR(VLOOKUP($D215,Total_DU!$B$5:$Z$174,23,0),0)</f>
        <v>969</v>
      </c>
      <c r="X215" s="12">
        <f>IFERROR(VLOOKUP($D215,Total_DU!$B$5:$Z$174,24,0),0)</f>
        <v>969</v>
      </c>
      <c r="Y215" s="12">
        <f>IFERROR(VLOOKUP($D215,Total_DU!$B$5:$Z$174,25,0),0)</f>
        <v>969</v>
      </c>
      <c r="Z215" s="12">
        <f>IFERROR(VLOOKUP($D215,Population!$B$5:$Y$174,21,FALSE),0)</f>
        <v>1828.9619694541875</v>
      </c>
      <c r="AA215" s="12">
        <f>IFERROR(VLOOKUP($D215,Population!$B$5:$Y$174,22,FALSE),0)</f>
        <v>1828.9621280840904</v>
      </c>
      <c r="AB215" s="12">
        <f>IFERROR(VLOOKUP($D215,Population!$B$5:$Y$174,23,FALSE),0)</f>
        <v>1828.9621464626184</v>
      </c>
      <c r="AC215" s="12">
        <f>IFERROR(VLOOKUP($D215,Population!$B$5:$Y$174,24,FALSE),0)</f>
        <v>1829</v>
      </c>
    </row>
    <row r="216" spans="1:29" ht="15" x14ac:dyDescent="0.25">
      <c r="A216" s="2" t="s">
        <v>33</v>
      </c>
      <c r="B216" s="2" t="s">
        <v>688</v>
      </c>
      <c r="C216" s="2" t="s">
        <v>146</v>
      </c>
      <c r="D216" s="2">
        <v>7448</v>
      </c>
      <c r="E216" s="11">
        <v>2022</v>
      </c>
      <c r="F216" s="12">
        <f>VLOOKUP($D216,'2022Data to Complete Appendix C'!$C$8:$Q$313,2,FALSE)</f>
        <v>869</v>
      </c>
      <c r="G216" s="12">
        <f>VLOOKUP($D216,'2022Data to Complete Appendix C'!$C$8:$Q$313,3,FALSE)</f>
        <v>454</v>
      </c>
      <c r="H216" s="12">
        <f>VLOOKUP($D216,'2022Data to Complete Appendix C'!$C$8:$Q$313,4,FALSE)</f>
        <v>0</v>
      </c>
      <c r="I216" s="12">
        <f>VLOOKUP($D216,'2022Data to Complete Appendix C'!$C$8:$Q$313,5,FALSE)</f>
        <v>1374</v>
      </c>
      <c r="J216" s="114">
        <f>VLOOKUP($D216,'2022Data to Complete Appendix C'!$C$8:$Q$313,6,FALSE)</f>
        <v>1.9140999999999999</v>
      </c>
      <c r="K216" s="114">
        <f>VLOOKUP($D216,'2022Data to Complete Appendix C'!$C$8:$Q$313,7,FALSE)</f>
        <v>1.95</v>
      </c>
      <c r="L216" s="114">
        <f>VLOOKUP($D216,'2022Data to Complete Appendix C'!$C$8:$Q$313,8,FALSE)</f>
        <v>1.0598000000000001</v>
      </c>
      <c r="M216" s="12">
        <f>VLOOKUP($D216,'2022Data to Complete Appendix C'!$C$8:$Q$313,9,FALSE)</f>
        <v>26.6511</v>
      </c>
      <c r="N216" s="114">
        <f>VLOOKUP($D216,'2022Data to Complete Appendix C'!$C$8:$Q$313,10,FALSE)</f>
        <v>5.5447999999999997E-2</v>
      </c>
      <c r="O216" s="115">
        <f>VLOOKUP($D216,'2022Data to Complete Appendix C'!$C$8:$Q$313,11,FALSE)</f>
        <v>0.442</v>
      </c>
      <c r="P216" s="115">
        <f>VLOOKUP($D216,'2022Data to Complete Appendix C'!$C$8:$Q$313,12,FALSE)</f>
        <v>0.70704999999999996</v>
      </c>
      <c r="Q216" s="115">
        <f>VLOOKUP($D216,'2022Data to Complete Appendix C'!$C$8:$Q$313,13,FALSE)</f>
        <v>0.67700000000000005</v>
      </c>
      <c r="R216" s="114">
        <f>VLOOKUP($D216,'2022Data to Complete Appendix C'!$C$8:$Q$313,14,FALSE)</f>
        <v>2.7</v>
      </c>
      <c r="S216" s="115">
        <f>VLOOKUP($D216,'2022Data to Complete Appendix C'!$C$8:$Q$313,15,FALSE)</f>
        <v>0.48255599999999998</v>
      </c>
      <c r="T216" s="12">
        <f>IFERROR(VLOOKUP($D216,'2022LodgingbyWUP'!$A$1:$D$98,4,FALSE),0)</f>
        <v>0</v>
      </c>
      <c r="U216" s="12">
        <f t="shared" si="5"/>
        <v>0</v>
      </c>
      <c r="V216" s="12">
        <f>IFERROR(VLOOKUP($D216,Total_DU!$B$5:$Z$174,22,0),0)</f>
        <v>1519</v>
      </c>
      <c r="W216" s="12">
        <f>IFERROR(VLOOKUP($D216,Total_DU!$B$5:$Z$174,23,0),0)</f>
        <v>1519</v>
      </c>
      <c r="X216" s="12">
        <f>IFERROR(VLOOKUP($D216,Total_DU!$B$5:$Z$174,24,0),0)</f>
        <v>1519</v>
      </c>
      <c r="Y216" s="12">
        <f>IFERROR(VLOOKUP($D216,Total_DU!$B$5:$Z$174,25,0),0)</f>
        <v>1519</v>
      </c>
      <c r="Z216" s="12">
        <f>IFERROR(VLOOKUP($D216,Population!$B$5:$Y$174,21,FALSE),0)</f>
        <v>1339</v>
      </c>
      <c r="AA216" s="12">
        <f>IFERROR(VLOOKUP($D216,Population!$B$5:$Y$174,22,FALSE),0)</f>
        <v>1339</v>
      </c>
      <c r="AB216" s="12">
        <f>IFERROR(VLOOKUP($D216,Population!$B$5:$Y$174,23,FALSE),0)</f>
        <v>1339</v>
      </c>
      <c r="AC216" s="12">
        <f>IFERROR(VLOOKUP($D216,Population!$B$5:$Y$174,24,FALSE),0)</f>
        <v>1339</v>
      </c>
    </row>
    <row r="217" spans="1:29" ht="15" x14ac:dyDescent="0.25">
      <c r="A217" s="11" t="s">
        <v>33</v>
      </c>
      <c r="B217" s="11" t="s">
        <v>689</v>
      </c>
      <c r="C217" s="11" t="s">
        <v>149</v>
      </c>
      <c r="D217" s="11">
        <v>8836</v>
      </c>
      <c r="E217" s="11">
        <v>2022</v>
      </c>
      <c r="F217" s="12">
        <f>VLOOKUP($D217,'2022Data to Complete Appendix C'!$C$8:$Q$313,2,FALSE)</f>
        <v>200107</v>
      </c>
      <c r="G217" s="12">
        <f>VLOOKUP($D217,'2022Data to Complete Appendix C'!$C$8:$Q$313,3,FALSE)</f>
        <v>95293</v>
      </c>
      <c r="H217" s="12">
        <f>VLOOKUP($D217,'2022Data to Complete Appendix C'!$C$8:$Q$313,4,FALSE)</f>
        <v>1437</v>
      </c>
      <c r="I217" s="12">
        <f>VLOOKUP($D217,'2022Data to Complete Appendix C'!$C$8:$Q$313,5,FALSE)</f>
        <v>121757</v>
      </c>
      <c r="J217" s="114">
        <f>VLOOKUP($D217,'2022Data to Complete Appendix C'!$C$8:$Q$313,6,FALSE)</f>
        <v>2.0999099999999999</v>
      </c>
      <c r="K217" s="114">
        <f>VLOOKUP($D217,'2022Data to Complete Appendix C'!$C$8:$Q$313,7,FALSE)</f>
        <v>1.95</v>
      </c>
      <c r="L217" s="114">
        <f>VLOOKUP($D217,'2022Data to Complete Appendix C'!$C$8:$Q$313,8,FALSE)</f>
        <v>1.0841700000000001</v>
      </c>
      <c r="M217" s="12">
        <f>VLOOKUP($D217,'2022Data to Complete Appendix C'!$C$8:$Q$313,9,FALSE)</f>
        <v>8636.93</v>
      </c>
      <c r="N217" s="114">
        <f>VLOOKUP($D217,'2022Data to Complete Appendix C'!$C$8:$Q$313,10,FALSE)</f>
        <v>8.3103399999999994E-2</v>
      </c>
      <c r="O217" s="115">
        <f>VLOOKUP($D217,'2022Data to Complete Appendix C'!$C$8:$Q$313,11,FALSE)</f>
        <v>0.442</v>
      </c>
      <c r="P217" s="115">
        <f>VLOOKUP($D217,'2022Data to Complete Appendix C'!$C$8:$Q$313,12,FALSE)</f>
        <v>0.70704999999999996</v>
      </c>
      <c r="Q217" s="115">
        <f>VLOOKUP($D217,'2022Data to Complete Appendix C'!$C$8:$Q$313,13,FALSE)</f>
        <v>0.67700000000000005</v>
      </c>
      <c r="R217" s="114">
        <f>VLOOKUP($D217,'2022Data to Complete Appendix C'!$C$8:$Q$313,14,FALSE)</f>
        <v>2.7</v>
      </c>
      <c r="S217" s="115">
        <f>VLOOKUP($D217,'2022Data to Complete Appendix C'!$C$8:$Q$313,15,FALSE)</f>
        <v>-7.8014E-2</v>
      </c>
      <c r="T217" s="12">
        <f>IFERROR(VLOOKUP($D217,'2022LodgingbyWUP'!$A$1:$D$98,4,FALSE),0)</f>
        <v>0</v>
      </c>
      <c r="U217" s="12">
        <f t="shared" si="5"/>
        <v>0</v>
      </c>
      <c r="V217" s="12">
        <f>IFERROR(VLOOKUP($D217,Total_DU!$B$5:$Z$174,22,0),0)</f>
        <v>114366</v>
      </c>
      <c r="W217" s="12">
        <f>IFERROR(VLOOKUP($D217,Total_DU!$B$5:$Z$174,23,0),0)</f>
        <v>117519</v>
      </c>
      <c r="X217" s="12">
        <f>IFERROR(VLOOKUP($D217,Total_DU!$B$5:$Z$174,24,0),0)</f>
        <v>119241</v>
      </c>
      <c r="Y217" s="12">
        <f>IFERROR(VLOOKUP($D217,Total_DU!$B$5:$Z$174,25,0),0)</f>
        <v>122157</v>
      </c>
      <c r="Z217" s="12">
        <f>IFERROR(VLOOKUP($D217,Population!$B$5:$Y$174,21,FALSE),0)</f>
        <v>234659</v>
      </c>
      <c r="AA217" s="12">
        <f>IFERROR(VLOOKUP($D217,Population!$B$5:$Y$174,22,FALSE),0)</f>
        <v>241131</v>
      </c>
      <c r="AB217" s="12">
        <f>IFERROR(VLOOKUP($D217,Population!$B$5:$Y$174,23,FALSE),0)</f>
        <v>244663</v>
      </c>
      <c r="AC217" s="12">
        <f>IFERROR(VLOOKUP($D217,Population!$B$5:$Y$174,24,FALSE),0)</f>
        <v>257733</v>
      </c>
    </row>
    <row r="218" spans="1:29" ht="15" x14ac:dyDescent="0.25">
      <c r="A218" s="2" t="s">
        <v>33</v>
      </c>
      <c r="B218" s="2" t="s">
        <v>690</v>
      </c>
      <c r="C218" s="2" t="s">
        <v>141</v>
      </c>
      <c r="D218" s="2">
        <v>99914</v>
      </c>
      <c r="E218" s="11">
        <v>2022</v>
      </c>
      <c r="F218" s="12">
        <f>VLOOKUP($D218,'2022Data to Complete Appendix C'!$C$8:$Q$313,2,FALSE)</f>
        <v>12853</v>
      </c>
      <c r="G218" s="12">
        <f>VLOOKUP($D218,'2022Data to Complete Appendix C'!$C$8:$Q$313,3,FALSE)</f>
        <v>6163</v>
      </c>
      <c r="H218" s="12">
        <f>VLOOKUP($D218,'2022Data to Complete Appendix C'!$C$8:$Q$313,4,FALSE)</f>
        <v>8</v>
      </c>
      <c r="I218" s="12">
        <f>VLOOKUP($D218,'2022Data to Complete Appendix C'!$C$8:$Q$313,5,FALSE)</f>
        <v>7200</v>
      </c>
      <c r="J218" s="114">
        <f>VLOOKUP($D218,'2022Data to Complete Appendix C'!$C$8:$Q$313,6,FALSE)</f>
        <v>2.0855100000000002</v>
      </c>
      <c r="K218" s="114">
        <f>VLOOKUP($D218,'2022Data to Complete Appendix C'!$C$8:$Q$313,7,FALSE)</f>
        <v>1.95</v>
      </c>
      <c r="L218" s="114">
        <f>VLOOKUP($D218,'2022Data to Complete Appendix C'!$C$8:$Q$313,8,FALSE)</f>
        <v>1.0457399999999999</v>
      </c>
      <c r="M218" s="12">
        <f>VLOOKUP($D218,'2022Data to Complete Appendix C'!$C$8:$Q$313,9,FALSE)</f>
        <v>301.47199999999998</v>
      </c>
      <c r="N218" s="114">
        <f>VLOOKUP($D218,'2022Data to Complete Appendix C'!$C$8:$Q$313,10,FALSE)</f>
        <v>4.6635200000000002E-2</v>
      </c>
      <c r="O218" s="115">
        <f>VLOOKUP($D218,'2022Data to Complete Appendix C'!$C$8:$Q$313,11,FALSE)</f>
        <v>0.442</v>
      </c>
      <c r="P218" s="115">
        <f>VLOOKUP($D218,'2022Data to Complete Appendix C'!$C$8:$Q$313,12,FALSE)</f>
        <v>0.70704999999999996</v>
      </c>
      <c r="Q218" s="115">
        <f>VLOOKUP($D218,'2022Data to Complete Appendix C'!$C$8:$Q$313,13,FALSE)</f>
        <v>0.67700000000000005</v>
      </c>
      <c r="R218" s="114">
        <f>VLOOKUP($D218,'2022Data to Complete Appendix C'!$C$8:$Q$313,14,FALSE)</f>
        <v>2.7</v>
      </c>
      <c r="S218" s="115">
        <f>VLOOKUP($D218,'2022Data to Complete Appendix C'!$C$8:$Q$313,15,FALSE)</f>
        <v>-0.11930200000000001</v>
      </c>
      <c r="T218" s="12">
        <f>IFERROR(VLOOKUP($D218,'2022LodgingbyWUP'!$A$1:$D$98,4,FALSE),0)</f>
        <v>0</v>
      </c>
      <c r="U218" s="12">
        <f t="shared" si="5"/>
        <v>0</v>
      </c>
      <c r="V218" s="12">
        <f>IFERROR(VLOOKUP($D218,Total_DU!$B$5:$Z$174,22,0),0)</f>
        <v>0</v>
      </c>
      <c r="W218" s="12">
        <f>IFERROR(VLOOKUP($D218,Total_DU!$B$5:$Z$174,23,0),0)</f>
        <v>0</v>
      </c>
      <c r="X218" s="12">
        <f>IFERROR(VLOOKUP($D218,Total_DU!$B$5:$Z$174,24,0),0)</f>
        <v>0</v>
      </c>
      <c r="Y218" s="12">
        <f>IFERROR(VLOOKUP($D218,Total_DU!$B$5:$Z$174,25,0),0)</f>
        <v>0</v>
      </c>
      <c r="Z218" s="12">
        <f>IFERROR(VLOOKUP($D218,Population!$B$5:$Y$174,21,FALSE),0)</f>
        <v>0</v>
      </c>
      <c r="AA218" s="12">
        <f>IFERROR(VLOOKUP($D218,Population!$B$5:$Y$174,22,FALSE),0)</f>
        <v>0</v>
      </c>
      <c r="AB218" s="12">
        <f>IFERROR(VLOOKUP($D218,Population!$B$5:$Y$174,23,FALSE),0)</f>
        <v>0</v>
      </c>
      <c r="AC218" s="12">
        <f>IFERROR(VLOOKUP($D218,Population!$B$5:$Y$174,24,FALSE),0)</f>
        <v>0</v>
      </c>
    </row>
    <row r="219" spans="1:29" ht="15" x14ac:dyDescent="0.25">
      <c r="A219" s="11" t="s">
        <v>23</v>
      </c>
      <c r="B219" s="11" t="s">
        <v>691</v>
      </c>
      <c r="C219" s="11" t="s">
        <v>121</v>
      </c>
      <c r="D219" s="11">
        <v>1368</v>
      </c>
      <c r="E219" s="11">
        <v>2022</v>
      </c>
      <c r="F219" s="12">
        <f>VLOOKUP($D219,'2022Data to Complete Appendix C'!$C$8:$Q$313,2,FALSE)</f>
        <v>5120</v>
      </c>
      <c r="G219" s="12">
        <f>VLOOKUP($D219,'2022Data to Complete Appendix C'!$C$8:$Q$313,3,FALSE)</f>
        <v>2266</v>
      </c>
      <c r="H219" s="12">
        <f>VLOOKUP($D219,'2022Data to Complete Appendix C'!$C$8:$Q$313,4,FALSE)</f>
        <v>0</v>
      </c>
      <c r="I219" s="12">
        <f>VLOOKUP($D219,'2022Data to Complete Appendix C'!$C$8:$Q$313,5,FALSE)</f>
        <v>3019</v>
      </c>
      <c r="J219" s="114">
        <f>VLOOKUP($D219,'2022Data to Complete Appendix C'!$C$8:$Q$313,6,FALSE)</f>
        <v>2.25949</v>
      </c>
      <c r="K219" s="114">
        <f>VLOOKUP($D219,'2022Data to Complete Appendix C'!$C$8:$Q$313,7,FALSE)</f>
        <v>1.95</v>
      </c>
      <c r="L219" s="114">
        <f>VLOOKUP($D219,'2022Data to Complete Appendix C'!$C$8:$Q$313,8,FALSE)</f>
        <v>1.24353</v>
      </c>
      <c r="M219" s="12">
        <f>VLOOKUP($D219,'2022Data to Complete Appendix C'!$C$8:$Q$313,9,FALSE)</f>
        <v>639.43299999999999</v>
      </c>
      <c r="N219" s="114">
        <f>VLOOKUP($D219,'2022Data to Complete Appendix C'!$C$8:$Q$313,10,FALSE)</f>
        <v>0.220082</v>
      </c>
      <c r="O219" s="115">
        <f>VLOOKUP($D219,'2022Data to Complete Appendix C'!$C$8:$Q$313,11,FALSE)</f>
        <v>0.56699999999999995</v>
      </c>
      <c r="P219" s="115">
        <f>VLOOKUP($D219,'2022Data to Complete Appendix C'!$C$8:$Q$313,12,FALSE)</f>
        <v>0.772675</v>
      </c>
      <c r="Q219" s="115">
        <f>VLOOKUP($D219,'2022Data to Complete Appendix C'!$C$8:$Q$313,13,FALSE)</f>
        <v>0.67400000000000004</v>
      </c>
      <c r="R219" s="114">
        <f>VLOOKUP($D219,'2022Data to Complete Appendix C'!$C$8:$Q$313,14,FALSE)</f>
        <v>2.2999999999999998</v>
      </c>
      <c r="S219" s="115">
        <f>VLOOKUP($D219,'2022Data to Complete Appendix C'!$C$8:$Q$313,15,FALSE)</f>
        <v>-0.66216200000000003</v>
      </c>
      <c r="T219" s="12">
        <f>IFERROR(VLOOKUP($D219,'2022LodgingbyWUP'!$A$1:$D$98,4,FALSE),0)</f>
        <v>0</v>
      </c>
      <c r="U219" s="12">
        <f t="shared" si="5"/>
        <v>0</v>
      </c>
      <c r="V219" s="12">
        <f>IFERROR(VLOOKUP($D219,Total_DU!$B$5:$Z$174,22,0),0)</f>
        <v>1886</v>
      </c>
      <c r="W219" s="12">
        <f>IFERROR(VLOOKUP($D219,Total_DU!$B$5:$Z$174,23,0),0)</f>
        <v>1920</v>
      </c>
      <c r="X219" s="12">
        <f>IFERROR(VLOOKUP($D219,Total_DU!$B$5:$Z$174,24,0),0)</f>
        <v>2144</v>
      </c>
      <c r="Y219" s="12">
        <f>IFERROR(VLOOKUP($D219,Total_DU!$B$5:$Z$174,25,0),0)</f>
        <v>2120</v>
      </c>
      <c r="Z219" s="12">
        <f>IFERROR(VLOOKUP($D219,Population!$B$5:$Y$174,21,FALSE),0)</f>
        <v>3983.7122535588451</v>
      </c>
      <c r="AA219" s="12">
        <f>IFERROR(VLOOKUP($D219,Population!$B$5:$Y$174,22,FALSE),0)</f>
        <v>4052.7020079087956</v>
      </c>
      <c r="AB219" s="12">
        <f>IFERROR(VLOOKUP($D219,Population!$B$5:$Y$174,23,FALSE),0)</f>
        <v>4519.5664442919442</v>
      </c>
      <c r="AC219" s="12">
        <f>IFERROR(VLOOKUP($D219,Population!$B$5:$Y$174,24,FALSE),0)</f>
        <v>4466</v>
      </c>
    </row>
    <row r="220" spans="1:29" ht="15" x14ac:dyDescent="0.25">
      <c r="A220" s="11" t="s">
        <v>23</v>
      </c>
      <c r="B220" s="11" t="s">
        <v>692</v>
      </c>
      <c r="C220" s="11" t="s">
        <v>60</v>
      </c>
      <c r="D220" s="11">
        <v>6519</v>
      </c>
      <c r="E220" s="11">
        <v>2022</v>
      </c>
      <c r="F220" s="12">
        <f>VLOOKUP($D220,'2022Data to Complete Appendix C'!$C$8:$Q$313,2,FALSE)</f>
        <v>9321</v>
      </c>
      <c r="G220" s="12">
        <f>VLOOKUP($D220,'2022Data to Complete Appendix C'!$C$8:$Q$313,3,FALSE)</f>
        <v>3873</v>
      </c>
      <c r="H220" s="12">
        <f>VLOOKUP($D220,'2022Data to Complete Appendix C'!$C$8:$Q$313,4,FALSE)</f>
        <v>360</v>
      </c>
      <c r="I220" s="12">
        <f>VLOOKUP($D220,'2022Data to Complete Appendix C'!$C$8:$Q$313,5,FALSE)</f>
        <v>5259</v>
      </c>
      <c r="J220" s="114">
        <f>VLOOKUP($D220,'2022Data to Complete Appendix C'!$C$8:$Q$313,6,FALSE)</f>
        <v>2.40666</v>
      </c>
      <c r="K220" s="114">
        <f>VLOOKUP($D220,'2022Data to Complete Appendix C'!$C$8:$Q$313,7,FALSE)</f>
        <v>1.95</v>
      </c>
      <c r="L220" s="114">
        <f>VLOOKUP($D220,'2022Data to Complete Appendix C'!$C$8:$Q$313,8,FALSE)</f>
        <v>1.15357</v>
      </c>
      <c r="M220" s="12">
        <f>VLOOKUP($D220,'2022Data to Complete Appendix C'!$C$8:$Q$313,9,FALSE)</f>
        <v>734.08399999999995</v>
      </c>
      <c r="N220" s="114">
        <f>VLOOKUP($D220,'2022Data to Complete Appendix C'!$C$8:$Q$313,10,FALSE)</f>
        <v>0.15933800000000001</v>
      </c>
      <c r="O220" s="115">
        <f>VLOOKUP($D220,'2022Data to Complete Appendix C'!$C$8:$Q$313,11,FALSE)</f>
        <v>0.56699999999999995</v>
      </c>
      <c r="P220" s="115">
        <f>VLOOKUP($D220,'2022Data to Complete Appendix C'!$C$8:$Q$313,12,FALSE)</f>
        <v>0.772675</v>
      </c>
      <c r="Q220" s="115">
        <f>VLOOKUP($D220,'2022Data to Complete Appendix C'!$C$8:$Q$313,13,FALSE)</f>
        <v>0.67400000000000004</v>
      </c>
      <c r="R220" s="114">
        <f>VLOOKUP($D220,'2022Data to Complete Appendix C'!$C$8:$Q$313,14,FALSE)</f>
        <v>2.2999999999999998</v>
      </c>
      <c r="S220" s="115">
        <f>VLOOKUP($D220,'2022Data to Complete Appendix C'!$C$8:$Q$313,15,FALSE)</f>
        <v>-0.42970000000000003</v>
      </c>
      <c r="T220" s="12">
        <f>IFERROR(VLOOKUP($D220,'2022LodgingbyWUP'!$A$1:$D$98,4,FALSE),0)</f>
        <v>0</v>
      </c>
      <c r="U220" s="12">
        <f t="shared" si="5"/>
        <v>0</v>
      </c>
      <c r="V220" s="12">
        <f>IFERROR(VLOOKUP($D220,Total_DU!$B$5:$Z$174,22,0),0)</f>
        <v>1612</v>
      </c>
      <c r="W220" s="12">
        <f>IFERROR(VLOOKUP($D220,Total_DU!$B$5:$Z$174,23,0),0)</f>
        <v>1613</v>
      </c>
      <c r="X220" s="12">
        <f>IFERROR(VLOOKUP($D220,Total_DU!$B$5:$Z$174,24,0),0)</f>
        <v>1626</v>
      </c>
      <c r="Y220" s="12">
        <f>IFERROR(VLOOKUP($D220,Total_DU!$B$5:$Z$174,25,0),0)</f>
        <v>1636</v>
      </c>
      <c r="Z220" s="12">
        <f>IFERROR(VLOOKUP($D220,Population!$B$5:$Y$174,21,FALSE),0)</f>
        <v>3873.6507422012969</v>
      </c>
      <c r="AA220" s="12">
        <f>IFERROR(VLOOKUP($D220,Population!$B$5:$Y$174,22,FALSE),0)</f>
        <v>3868.7131765762288</v>
      </c>
      <c r="AB220" s="12">
        <f>IFERROR(VLOOKUP($D220,Population!$B$5:$Y$174,23,FALSE),0)</f>
        <v>3891.9206444307692</v>
      </c>
      <c r="AC220" s="12">
        <f>IFERROR(VLOOKUP($D220,Population!$B$5:$Y$174,24,FALSE),0)</f>
        <v>3903</v>
      </c>
    </row>
    <row r="221" spans="1:29" ht="15" x14ac:dyDescent="0.25">
      <c r="A221" s="2" t="s">
        <v>23</v>
      </c>
      <c r="B221" s="2" t="s">
        <v>693</v>
      </c>
      <c r="C221" s="2" t="s">
        <v>91</v>
      </c>
      <c r="D221" s="2">
        <v>7185</v>
      </c>
      <c r="E221" s="11">
        <v>2022</v>
      </c>
      <c r="F221" s="12">
        <f>VLOOKUP($D221,'2022Data to Complete Appendix C'!$C$8:$Q$313,2,FALSE)</f>
        <v>3011</v>
      </c>
      <c r="G221" s="12">
        <f>VLOOKUP($D221,'2022Data to Complete Appendix C'!$C$8:$Q$313,3,FALSE)</f>
        <v>1151</v>
      </c>
      <c r="H221" s="12">
        <f>VLOOKUP($D221,'2022Data to Complete Appendix C'!$C$8:$Q$313,4,FALSE)</f>
        <v>10</v>
      </c>
      <c r="I221" s="12">
        <f>VLOOKUP($D221,'2022Data to Complete Appendix C'!$C$8:$Q$313,5,FALSE)</f>
        <v>1466</v>
      </c>
      <c r="J221" s="114">
        <f>VLOOKUP($D221,'2022Data to Complete Appendix C'!$C$8:$Q$313,6,FALSE)</f>
        <v>2.61599</v>
      </c>
      <c r="K221" s="114">
        <f>VLOOKUP($D221,'2022Data to Complete Appendix C'!$C$8:$Q$313,7,FALSE)</f>
        <v>1.95</v>
      </c>
      <c r="L221" s="114">
        <f>VLOOKUP($D221,'2022Data to Complete Appendix C'!$C$8:$Q$313,8,FALSE)</f>
        <v>1.07186</v>
      </c>
      <c r="M221" s="12">
        <f>VLOOKUP($D221,'2022Data to Complete Appendix C'!$C$8:$Q$313,9,FALSE)</f>
        <v>110.962</v>
      </c>
      <c r="N221" s="114">
        <f>VLOOKUP($D221,'2022Data to Complete Appendix C'!$C$8:$Q$313,10,FALSE)</f>
        <v>8.7928400000000004E-2</v>
      </c>
      <c r="O221" s="115">
        <f>VLOOKUP($D221,'2022Data to Complete Appendix C'!$C$8:$Q$313,11,FALSE)</f>
        <v>0.56699999999999995</v>
      </c>
      <c r="P221" s="115">
        <f>VLOOKUP($D221,'2022Data to Complete Appendix C'!$C$8:$Q$313,12,FALSE)</f>
        <v>0.772675</v>
      </c>
      <c r="Q221" s="115">
        <f>VLOOKUP($D221,'2022Data to Complete Appendix C'!$C$8:$Q$313,13,FALSE)</f>
        <v>0.67400000000000004</v>
      </c>
      <c r="R221" s="114">
        <f>VLOOKUP($D221,'2022Data to Complete Appendix C'!$C$8:$Q$313,14,FALSE)</f>
        <v>2.2999999999999998</v>
      </c>
      <c r="S221" s="115">
        <f>VLOOKUP($D221,'2022Data to Complete Appendix C'!$C$8:$Q$313,15,FALSE)</f>
        <v>-0.66073499999999996</v>
      </c>
      <c r="T221" s="12">
        <f>IFERROR(VLOOKUP($D221,'2022LodgingbyWUP'!$A$1:$D$98,4,FALSE),0)</f>
        <v>0</v>
      </c>
      <c r="U221" s="12">
        <f t="shared" si="5"/>
        <v>0</v>
      </c>
      <c r="V221" s="12">
        <f>IFERROR(VLOOKUP($D221,Total_DU!$B$5:$Z$174,22,0),0)</f>
        <v>345</v>
      </c>
      <c r="W221" s="12">
        <f>IFERROR(VLOOKUP($D221,Total_DU!$B$5:$Z$174,23,0),0)</f>
        <v>339</v>
      </c>
      <c r="X221" s="12">
        <f>IFERROR(VLOOKUP($D221,Total_DU!$B$5:$Z$174,24,0),0)</f>
        <v>326</v>
      </c>
      <c r="Y221" s="12">
        <f>IFERROR(VLOOKUP($D221,Total_DU!$B$5:$Z$174,25,0),0)</f>
        <v>400</v>
      </c>
      <c r="Z221" s="12">
        <f>IFERROR(VLOOKUP($D221,Population!$B$5:$Y$174,21,FALSE),0)</f>
        <v>921.61028320676246</v>
      </c>
      <c r="AA221" s="12">
        <f>IFERROR(VLOOKUP($D221,Population!$B$5:$Y$174,22,FALSE),0)</f>
        <v>856.06896654595391</v>
      </c>
      <c r="AB221" s="12">
        <f>IFERROR(VLOOKUP($D221,Population!$B$5:$Y$174,23,FALSE),0)</f>
        <v>823.24036977479932</v>
      </c>
      <c r="AC221" s="12">
        <f>IFERROR(VLOOKUP($D221,Population!$B$5:$Y$174,24,FALSE),0)</f>
        <v>1010</v>
      </c>
    </row>
    <row r="222" spans="1:29" ht="15" x14ac:dyDescent="0.25">
      <c r="A222" s="11" t="s">
        <v>23</v>
      </c>
      <c r="B222" s="11" t="s">
        <v>694</v>
      </c>
      <c r="C222" s="11" t="s">
        <v>46</v>
      </c>
      <c r="D222" s="11">
        <v>7799</v>
      </c>
      <c r="E222" s="11">
        <v>2022</v>
      </c>
      <c r="F222" s="12">
        <f>VLOOKUP($D222,'2022Data to Complete Appendix C'!$C$8:$Q$313,2,FALSE)</f>
        <v>778</v>
      </c>
      <c r="G222" s="12">
        <f>VLOOKUP($D222,'2022Data to Complete Appendix C'!$C$8:$Q$313,3,FALSE)</f>
        <v>335</v>
      </c>
      <c r="H222" s="12">
        <f>VLOOKUP($D222,'2022Data to Complete Appendix C'!$C$8:$Q$313,4,FALSE)</f>
        <v>0</v>
      </c>
      <c r="I222" s="12">
        <f>VLOOKUP($D222,'2022Data to Complete Appendix C'!$C$8:$Q$313,5,FALSE)</f>
        <v>375</v>
      </c>
      <c r="J222" s="114">
        <f>VLOOKUP($D222,'2022Data to Complete Appendix C'!$C$8:$Q$313,6,FALSE)</f>
        <v>2.32239</v>
      </c>
      <c r="K222" s="114">
        <f>VLOOKUP($D222,'2022Data to Complete Appendix C'!$C$8:$Q$313,7,FALSE)</f>
        <v>1.95</v>
      </c>
      <c r="L222" s="114">
        <f>VLOOKUP($D222,'2022Data to Complete Appendix C'!$C$8:$Q$313,8,FALSE)</f>
        <v>1.1275299999999999</v>
      </c>
      <c r="M222" s="12">
        <f>VLOOKUP($D222,'2022Data to Complete Appendix C'!$C$8:$Q$313,9,FALSE)</f>
        <v>50.880400000000002</v>
      </c>
      <c r="N222" s="114">
        <f>VLOOKUP($D222,'2022Data to Complete Appendix C'!$C$8:$Q$313,10,FALSE)</f>
        <v>0.131855</v>
      </c>
      <c r="O222" s="115">
        <f>VLOOKUP($D222,'2022Data to Complete Appendix C'!$C$8:$Q$313,11,FALSE)</f>
        <v>0.56699999999999995</v>
      </c>
      <c r="P222" s="115">
        <f>VLOOKUP($D222,'2022Data to Complete Appendix C'!$C$8:$Q$313,12,FALSE)</f>
        <v>0.772675</v>
      </c>
      <c r="Q222" s="115">
        <f>VLOOKUP($D222,'2022Data to Complete Appendix C'!$C$8:$Q$313,13,FALSE)</f>
        <v>0.67400000000000004</v>
      </c>
      <c r="R222" s="114">
        <f>VLOOKUP($D222,'2022Data to Complete Appendix C'!$C$8:$Q$313,14,FALSE)</f>
        <v>2.2999999999999998</v>
      </c>
      <c r="S222" s="115">
        <f>VLOOKUP($D222,'2022Data to Complete Appendix C'!$C$8:$Q$313,15,FALSE)</f>
        <v>-0.33035700000000001</v>
      </c>
      <c r="T222" s="12">
        <f>IFERROR(VLOOKUP($D222,'2022LodgingbyWUP'!$A$1:$D$98,4,FALSE),0)</f>
        <v>0</v>
      </c>
      <c r="U222" s="12">
        <f t="shared" si="5"/>
        <v>0</v>
      </c>
      <c r="V222" s="12" t="str">
        <f>IFERROR(VLOOKUP($D222,Total_DU!$B$5:$Z$174,22,0),0)</f>
        <v>NA</v>
      </c>
      <c r="W222" s="12" t="str">
        <f>IFERROR(VLOOKUP($D222,Total_DU!$B$5:$Z$174,23,0),0)</f>
        <v>NA</v>
      </c>
      <c r="X222" s="12" t="str">
        <f>IFERROR(VLOOKUP($D222,Total_DU!$B$5:$Z$174,24,0),0)</f>
        <v>NA</v>
      </c>
      <c r="Y222" s="12" t="str">
        <f>IFERROR(VLOOKUP($D222,Total_DU!$B$5:$Z$174,25,0),0)</f>
        <v>NA</v>
      </c>
      <c r="Z222" s="12" t="str">
        <f>IFERROR(VLOOKUP($D222,Population!$B$5:$Y$174,21,FALSE),0)</f>
        <v>NA</v>
      </c>
      <c r="AA222" s="12" t="str">
        <f>IFERROR(VLOOKUP($D222,Population!$B$5:$Y$174,22,FALSE),0)</f>
        <v>NA</v>
      </c>
      <c r="AB222" s="12" t="str">
        <f>IFERROR(VLOOKUP($D222,Population!$B$5:$Y$174,23,FALSE),0)</f>
        <v>NA</v>
      </c>
      <c r="AC222" s="12" t="str">
        <f>IFERROR(VLOOKUP($D222,Population!$B$5:$Y$174,24,FALSE),0)</f>
        <v>NA</v>
      </c>
    </row>
    <row r="223" spans="1:29" ht="15" x14ac:dyDescent="0.25">
      <c r="A223" s="2" t="s">
        <v>23</v>
      </c>
      <c r="B223" s="2" t="s">
        <v>695</v>
      </c>
      <c r="C223" s="2" t="s">
        <v>92</v>
      </c>
      <c r="D223" s="2">
        <v>8135</v>
      </c>
      <c r="E223" s="11">
        <v>2022</v>
      </c>
      <c r="F223" s="12">
        <f>VLOOKUP($D223,'2022Data to Complete Appendix C'!$C$8:$Q$313,2,FALSE)</f>
        <v>17137</v>
      </c>
      <c r="G223" s="12">
        <f>VLOOKUP($D223,'2022Data to Complete Appendix C'!$C$8:$Q$313,3,FALSE)</f>
        <v>7554</v>
      </c>
      <c r="H223" s="12">
        <f>VLOOKUP($D223,'2022Data to Complete Appendix C'!$C$8:$Q$313,4,FALSE)</f>
        <v>6608</v>
      </c>
      <c r="I223" s="12">
        <f>VLOOKUP($D223,'2022Data to Complete Appendix C'!$C$8:$Q$313,5,FALSE)</f>
        <v>10361</v>
      </c>
      <c r="J223" s="114">
        <f>VLOOKUP($D223,'2022Data to Complete Appendix C'!$C$8:$Q$313,6,FALSE)</f>
        <v>2.2686000000000002</v>
      </c>
      <c r="K223" s="114">
        <f>VLOOKUP($D223,'2022Data to Complete Appendix C'!$C$8:$Q$313,7,FALSE)</f>
        <v>1.95</v>
      </c>
      <c r="L223" s="114">
        <f>VLOOKUP($D223,'2022Data to Complete Appendix C'!$C$8:$Q$313,8,FALSE)</f>
        <v>1.1479600000000001</v>
      </c>
      <c r="M223" s="12">
        <f>VLOOKUP($D223,'2022Data to Complete Appendix C'!$C$8:$Q$313,9,FALSE)</f>
        <v>1300.27</v>
      </c>
      <c r="N223" s="114">
        <f>VLOOKUP($D223,'2022Data to Complete Appendix C'!$C$8:$Q$313,10,FALSE)</f>
        <v>0.14685200000000001</v>
      </c>
      <c r="O223" s="115">
        <f>VLOOKUP($D223,'2022Data to Complete Appendix C'!$C$8:$Q$313,11,FALSE)</f>
        <v>0.56699999999999995</v>
      </c>
      <c r="P223" s="115">
        <f>VLOOKUP($D223,'2022Data to Complete Appendix C'!$C$8:$Q$313,12,FALSE)</f>
        <v>0.772675</v>
      </c>
      <c r="Q223" s="115">
        <f>VLOOKUP($D223,'2022Data to Complete Appendix C'!$C$8:$Q$313,13,FALSE)</f>
        <v>0.67400000000000004</v>
      </c>
      <c r="R223" s="114">
        <f>VLOOKUP($D223,'2022Data to Complete Appendix C'!$C$8:$Q$313,14,FALSE)</f>
        <v>2.2999999999999998</v>
      </c>
      <c r="S223" s="115">
        <f>VLOOKUP($D223,'2022Data to Complete Appendix C'!$C$8:$Q$313,15,FALSE)</f>
        <v>-0.47096700000000002</v>
      </c>
      <c r="T223" s="12">
        <f>IFERROR(VLOOKUP($D223,'2022LodgingbyWUP'!$A$1:$D$98,4,FALSE),0)</f>
        <v>0</v>
      </c>
      <c r="U223" s="12">
        <f t="shared" si="5"/>
        <v>0</v>
      </c>
      <c r="V223" s="12">
        <f>IFERROR(VLOOKUP($D223,Total_DU!$B$5:$Z$174,22,0),0)</f>
        <v>6672</v>
      </c>
      <c r="W223" s="12">
        <f>IFERROR(VLOOKUP($D223,Total_DU!$B$5:$Z$174,23,0),0)</f>
        <v>5829</v>
      </c>
      <c r="X223" s="12">
        <f>IFERROR(VLOOKUP($D223,Total_DU!$B$5:$Z$174,24,0),0)</f>
        <v>5259</v>
      </c>
      <c r="Y223" s="12">
        <f>IFERROR(VLOOKUP($D223,Total_DU!$B$5:$Z$174,25,0),0)</f>
        <v>4339</v>
      </c>
      <c r="Z223" s="12">
        <f>IFERROR(VLOOKUP($D223,Population!$B$5:$Y$174,21,FALSE),0)</f>
        <v>22646.684348469778</v>
      </c>
      <c r="AA223" s="12">
        <f>IFERROR(VLOOKUP($D223,Population!$B$5:$Y$174,22,FALSE),0)</f>
        <v>20012</v>
      </c>
      <c r="AB223" s="12">
        <f>IFERROR(VLOOKUP($D223,Population!$B$5:$Y$174,23,FALSE),0)</f>
        <v>17867</v>
      </c>
      <c r="AC223" s="12">
        <f>IFERROR(VLOOKUP($D223,Population!$B$5:$Y$174,24,FALSE),0)</f>
        <v>16399</v>
      </c>
    </row>
    <row r="224" spans="1:29" ht="15" x14ac:dyDescent="0.25">
      <c r="A224" s="11" t="s">
        <v>23</v>
      </c>
      <c r="B224" s="11" t="s">
        <v>696</v>
      </c>
      <c r="C224" s="11" t="s">
        <v>61</v>
      </c>
      <c r="D224" s="11">
        <v>8193</v>
      </c>
      <c r="E224" s="11">
        <v>2022</v>
      </c>
      <c r="F224" s="12">
        <f>VLOOKUP($D224,'2022Data to Complete Appendix C'!$C$8:$Q$313,2,FALSE)</f>
        <v>1154</v>
      </c>
      <c r="G224" s="12">
        <f>VLOOKUP($D224,'2022Data to Complete Appendix C'!$C$8:$Q$313,3,FALSE)</f>
        <v>370</v>
      </c>
      <c r="H224" s="12">
        <f>VLOOKUP($D224,'2022Data to Complete Appendix C'!$C$8:$Q$313,4,FALSE)</f>
        <v>0</v>
      </c>
      <c r="I224" s="12">
        <f>VLOOKUP($D224,'2022Data to Complete Appendix C'!$C$8:$Q$313,5,FALSE)</f>
        <v>520</v>
      </c>
      <c r="J224" s="114">
        <f>VLOOKUP($D224,'2022Data to Complete Appendix C'!$C$8:$Q$313,6,FALSE)</f>
        <v>3.1189200000000001</v>
      </c>
      <c r="K224" s="114">
        <f>VLOOKUP($D224,'2022Data to Complete Appendix C'!$C$8:$Q$313,7,FALSE)</f>
        <v>1.95</v>
      </c>
      <c r="L224" s="114">
        <f>VLOOKUP($D224,'2022Data to Complete Appendix C'!$C$8:$Q$313,8,FALSE)</f>
        <v>1</v>
      </c>
      <c r="M224" s="12">
        <f>VLOOKUP($D224,'2022Data to Complete Appendix C'!$C$8:$Q$313,9,FALSE)</f>
        <v>0</v>
      </c>
      <c r="N224" s="114">
        <f>VLOOKUP($D224,'2022Data to Complete Appendix C'!$C$8:$Q$313,10,FALSE)</f>
        <v>0</v>
      </c>
      <c r="O224" s="115">
        <f>VLOOKUP($D224,'2022Data to Complete Appendix C'!$C$8:$Q$313,11,FALSE)</f>
        <v>0.56699999999999995</v>
      </c>
      <c r="P224" s="115">
        <f>VLOOKUP($D224,'2022Data to Complete Appendix C'!$C$8:$Q$313,12,FALSE)</f>
        <v>0.772675</v>
      </c>
      <c r="Q224" s="115">
        <f>VLOOKUP($D224,'2022Data to Complete Appendix C'!$C$8:$Q$313,13,FALSE)</f>
        <v>0.67400000000000004</v>
      </c>
      <c r="R224" s="114">
        <f>VLOOKUP($D224,'2022Data to Complete Appendix C'!$C$8:$Q$313,14,FALSE)</f>
        <v>2.2999999999999998</v>
      </c>
      <c r="S224" s="115">
        <f>VLOOKUP($D224,'2022Data to Complete Appendix C'!$C$8:$Q$313,15,FALSE)</f>
        <v>-0.64696100000000001</v>
      </c>
      <c r="T224" s="12">
        <f>IFERROR(VLOOKUP($D224,'2022LodgingbyWUP'!$A$1:$D$98,4,FALSE),0)</f>
        <v>0</v>
      </c>
      <c r="U224" s="12">
        <f t="shared" si="5"/>
        <v>0</v>
      </c>
      <c r="V224" s="12">
        <f>IFERROR(VLOOKUP($D224,Total_DU!$B$5:$Z$174,22,0),0)</f>
        <v>375</v>
      </c>
      <c r="W224" s="12">
        <f>IFERROR(VLOOKUP($D224,Total_DU!$B$5:$Z$174,23,0),0)</f>
        <v>375</v>
      </c>
      <c r="X224" s="12">
        <f>IFERROR(VLOOKUP($D224,Total_DU!$B$5:$Z$174,24,0),0)</f>
        <v>376</v>
      </c>
      <c r="Y224" s="12">
        <f>IFERROR(VLOOKUP($D224,Total_DU!$B$5:$Z$174,25,0),0)</f>
        <v>373</v>
      </c>
      <c r="Z224" s="12">
        <f>IFERROR(VLOOKUP($D224,Population!$B$5:$Y$174,21,FALSE),0)</f>
        <v>1169.595</v>
      </c>
      <c r="AA224" s="12">
        <f>IFERROR(VLOOKUP($D224,Population!$B$5:$Y$174,22,FALSE),0)</f>
        <v>1169.5950375</v>
      </c>
      <c r="AB224" s="12">
        <f>IFERROR(VLOOKUP($D224,Population!$B$5:$Y$174,23,FALSE),0)</f>
        <v>1172.7139530181885</v>
      </c>
      <c r="AC224" s="12">
        <f>IFERROR(VLOOKUP($D224,Population!$B$5:$Y$174,24,FALSE),0)</f>
        <v>1163</v>
      </c>
    </row>
    <row r="225" spans="1:29" ht="15" x14ac:dyDescent="0.25">
      <c r="A225" s="2" t="s">
        <v>23</v>
      </c>
      <c r="B225" s="2" t="s">
        <v>697</v>
      </c>
      <c r="C225" s="2" t="s">
        <v>63</v>
      </c>
      <c r="D225" s="2">
        <v>10488</v>
      </c>
      <c r="E225" s="11">
        <v>2022</v>
      </c>
      <c r="F225" s="12">
        <f>VLOOKUP($D225,'2022Data to Complete Appendix C'!$C$8:$Q$313,2,FALSE)</f>
        <v>965</v>
      </c>
      <c r="G225" s="12">
        <f>VLOOKUP($D225,'2022Data to Complete Appendix C'!$C$8:$Q$313,3,FALSE)</f>
        <v>379</v>
      </c>
      <c r="H225" s="12">
        <f>VLOOKUP($D225,'2022Data to Complete Appendix C'!$C$8:$Q$313,4,FALSE)</f>
        <v>0</v>
      </c>
      <c r="I225" s="12">
        <f>VLOOKUP($D225,'2022Data to Complete Appendix C'!$C$8:$Q$313,5,FALSE)</f>
        <v>465</v>
      </c>
      <c r="J225" s="114">
        <f>VLOOKUP($D225,'2022Data to Complete Appendix C'!$C$8:$Q$313,6,FALSE)</f>
        <v>2.54617</v>
      </c>
      <c r="K225" s="114">
        <f>VLOOKUP($D225,'2022Data to Complete Appendix C'!$C$8:$Q$313,7,FALSE)</f>
        <v>1.95</v>
      </c>
      <c r="L225" s="114">
        <f>VLOOKUP($D225,'2022Data to Complete Appendix C'!$C$8:$Q$313,8,FALSE)</f>
        <v>1.1248100000000001</v>
      </c>
      <c r="M225" s="12">
        <f>VLOOKUP($D225,'2022Data to Complete Appendix C'!$C$8:$Q$313,9,FALSE)</f>
        <v>61.7654</v>
      </c>
      <c r="N225" s="114">
        <f>VLOOKUP($D225,'2022Data to Complete Appendix C'!$C$8:$Q$313,10,FALSE)</f>
        <v>0.14013200000000001</v>
      </c>
      <c r="O225" s="115">
        <f>VLOOKUP($D225,'2022Data to Complete Appendix C'!$C$8:$Q$313,11,FALSE)</f>
        <v>0.56699999999999995</v>
      </c>
      <c r="P225" s="115">
        <f>VLOOKUP($D225,'2022Data to Complete Appendix C'!$C$8:$Q$313,12,FALSE)</f>
        <v>0.772675</v>
      </c>
      <c r="Q225" s="115">
        <f>VLOOKUP($D225,'2022Data to Complete Appendix C'!$C$8:$Q$313,13,FALSE)</f>
        <v>0.67400000000000004</v>
      </c>
      <c r="R225" s="114">
        <f>VLOOKUP($D225,'2022Data to Complete Appendix C'!$C$8:$Q$313,14,FALSE)</f>
        <v>2.2999999999999998</v>
      </c>
      <c r="S225" s="115">
        <f>VLOOKUP($D225,'2022Data to Complete Appendix C'!$C$8:$Q$313,15,FALSE)</f>
        <v>-0.78544099999999994</v>
      </c>
      <c r="T225" s="12">
        <f>IFERROR(VLOOKUP($D225,'2022LodgingbyWUP'!$A$1:$D$98,4,FALSE),0)</f>
        <v>0</v>
      </c>
      <c r="U225" s="12">
        <f t="shared" si="5"/>
        <v>0</v>
      </c>
      <c r="V225" s="12">
        <f>IFERROR(VLOOKUP($D225,Total_DU!$B$5:$Z$174,22,0),0)</f>
        <v>0</v>
      </c>
      <c r="W225" s="12">
        <f>IFERROR(VLOOKUP($D225,Total_DU!$B$5:$Z$174,23,0),0)</f>
        <v>0</v>
      </c>
      <c r="X225" s="12">
        <f>IFERROR(VLOOKUP($D225,Total_DU!$B$5:$Z$174,24,0),0)</f>
        <v>0</v>
      </c>
      <c r="Y225" s="12">
        <f>IFERROR(VLOOKUP($D225,Total_DU!$B$5:$Z$174,25,0),0)</f>
        <v>0</v>
      </c>
      <c r="Z225" s="12">
        <f>IFERROR(VLOOKUP($D225,Population!$B$5:$Y$174,21,FALSE),0)</f>
        <v>0</v>
      </c>
      <c r="AA225" s="12">
        <f>IFERROR(VLOOKUP($D225,Population!$B$5:$Y$174,22,FALSE),0)</f>
        <v>0</v>
      </c>
      <c r="AB225" s="12">
        <f>IFERROR(VLOOKUP($D225,Population!$B$5:$Y$174,23,FALSE),0)</f>
        <v>0</v>
      </c>
      <c r="AC225" s="12">
        <f>IFERROR(VLOOKUP($D225,Population!$B$5:$Y$174,24,FALSE),0)</f>
        <v>0</v>
      </c>
    </row>
    <row r="226" spans="1:29" ht="15" x14ac:dyDescent="0.25">
      <c r="A226" s="2" t="s">
        <v>23</v>
      </c>
      <c r="B226" s="2" t="str">
        <f>_xlfn.CONCAT(A226,"_",C226,"_WUP#_",D226)</f>
        <v>SUMTER_ORANGE BLOSSOM UTILITIES_WUP#_12584</v>
      </c>
      <c r="C226" s="2" t="s">
        <v>919</v>
      </c>
      <c r="D226" s="2">
        <v>12584</v>
      </c>
      <c r="E226" s="11">
        <v>2022</v>
      </c>
      <c r="F226" s="12">
        <f>VLOOKUP($D226,'2022Data to Complete Appendix C'!$C$8:$Q$313,2,FALSE)</f>
        <v>26</v>
      </c>
      <c r="G226" s="12">
        <f>VLOOKUP($D226,'2022Data to Complete Appendix C'!$C$8:$Q$313,3,FALSE)</f>
        <v>8</v>
      </c>
      <c r="H226" s="12">
        <f>VLOOKUP($D226,'2022Data to Complete Appendix C'!$C$8:$Q$313,4,FALSE)</f>
        <v>0</v>
      </c>
      <c r="I226" s="12">
        <f>VLOOKUP($D226,'2022Data to Complete Appendix C'!$C$8:$Q$313,5,FALSE)</f>
        <v>12</v>
      </c>
      <c r="J226" s="114">
        <f>VLOOKUP($D226,'2022Data to Complete Appendix C'!$C$8:$Q$313,6,FALSE)</f>
        <v>3.25</v>
      </c>
      <c r="K226" s="114">
        <f>VLOOKUP($D226,'2022Data to Complete Appendix C'!$C$8:$Q$313,7,FALSE)</f>
        <v>1.95</v>
      </c>
      <c r="L226" s="114">
        <f>VLOOKUP($D226,'2022Data to Complete Appendix C'!$C$8:$Q$313,8,FALSE)</f>
        <v>1.0582499999999999</v>
      </c>
      <c r="M226" s="12">
        <f>VLOOKUP($D226,'2022Data to Complete Appendix C'!$C$8:$Q$313,9,FALSE)</f>
        <v>0.77662699999999996</v>
      </c>
      <c r="N226" s="114">
        <f>VLOOKUP($D226,'2022Data to Complete Appendix C'!$C$8:$Q$313,10,FALSE)</f>
        <v>8.8487999999999997E-2</v>
      </c>
      <c r="O226" s="115">
        <f>VLOOKUP($D226,'2022Data to Complete Appendix C'!$C$8:$Q$313,11,FALSE)</f>
        <v>0.56699999999999995</v>
      </c>
      <c r="P226" s="115">
        <f>VLOOKUP($D226,'2022Data to Complete Appendix C'!$C$8:$Q$313,12,FALSE)</f>
        <v>0.772675</v>
      </c>
      <c r="Q226" s="115">
        <f>VLOOKUP($D226,'2022Data to Complete Appendix C'!$C$8:$Q$313,13,FALSE)</f>
        <v>0.67400000000000004</v>
      </c>
      <c r="R226" s="114">
        <f>VLOOKUP($D226,'2022Data to Complete Appendix C'!$C$8:$Q$313,14,FALSE)</f>
        <v>2.2999999999999998</v>
      </c>
      <c r="S226" s="115">
        <f>VLOOKUP($D226,'2022Data to Complete Appendix C'!$C$8:$Q$313,15,FALSE)</f>
        <v>-0.14594399999999999</v>
      </c>
      <c r="T226" s="12">
        <f>IFERROR(VLOOKUP($D226,'2022LodgingbyWUP'!$A$1:$D$98,4,FALSE),0)</f>
        <v>0</v>
      </c>
      <c r="U226" s="12">
        <f t="shared" si="5"/>
        <v>0</v>
      </c>
      <c r="V226" s="12" t="str">
        <f>IFERROR(VLOOKUP($D226,Total_DU!$B$5:$Z$174,22,0),0)</f>
        <v>NA</v>
      </c>
      <c r="W226" s="12" t="str">
        <f>IFERROR(VLOOKUP($D226,Total_DU!$B$5:$Z$174,23,0),0)</f>
        <v>NA</v>
      </c>
      <c r="X226" s="12">
        <f>IFERROR(VLOOKUP($D226,Total_DU!$B$5:$Z$174,24,0),0)</f>
        <v>31</v>
      </c>
      <c r="Y226" s="12">
        <f>IFERROR(VLOOKUP($D226,Total_DU!$B$5:$Z$174,25,0),0)</f>
        <v>41</v>
      </c>
      <c r="Z226" s="12">
        <f>IFERROR(VLOOKUP($D226,Population!$B$5:$Y$174,21,FALSE),0)</f>
        <v>0</v>
      </c>
      <c r="AA226" s="12" t="str">
        <f>IFERROR(VLOOKUP($D226,Population!$B$5:$Y$174,22,FALSE),0)</f>
        <v>NA</v>
      </c>
      <c r="AB226" s="12">
        <f>IFERROR(VLOOKUP($D226,Population!$B$5:$Y$174,23,FALSE),0)</f>
        <v>204.44651395297205</v>
      </c>
      <c r="AC226" s="12">
        <f>IFERROR(VLOOKUP($D226,Population!$B$5:$Y$174,24,FALSE),0)</f>
        <v>222</v>
      </c>
    </row>
    <row r="227" spans="1:29" ht="15" x14ac:dyDescent="0.25">
      <c r="A227" s="11" t="s">
        <v>23</v>
      </c>
      <c r="B227" s="11" t="s">
        <v>698</v>
      </c>
      <c r="C227" s="11" t="s">
        <v>162</v>
      </c>
      <c r="D227" s="11">
        <v>13005</v>
      </c>
      <c r="E227" s="11">
        <v>2022</v>
      </c>
      <c r="F227" s="12">
        <f>VLOOKUP($D227,'2022Data to Complete Appendix C'!$C$8:$Q$313,2,FALSE)</f>
        <v>53351</v>
      </c>
      <c r="G227" s="12">
        <f>VLOOKUP($D227,'2022Data to Complete Appendix C'!$C$8:$Q$313,3,FALSE)</f>
        <v>29062</v>
      </c>
      <c r="H227" s="12">
        <f>VLOOKUP($D227,'2022Data to Complete Appendix C'!$C$8:$Q$313,4,FALSE)</f>
        <v>18</v>
      </c>
      <c r="I227" s="12">
        <f>VLOOKUP($D227,'2022Data to Complete Appendix C'!$C$8:$Q$313,5,FALSE)</f>
        <v>35866</v>
      </c>
      <c r="J227" s="114">
        <f>VLOOKUP($D227,'2022Data to Complete Appendix C'!$C$8:$Q$313,6,FALSE)</f>
        <v>1.8357600000000001</v>
      </c>
      <c r="K227" s="114">
        <f>VLOOKUP($D227,'2022Data to Complete Appendix C'!$C$8:$Q$313,7,FALSE)</f>
        <v>1.95</v>
      </c>
      <c r="L227" s="114">
        <f>VLOOKUP($D227,'2022Data to Complete Appendix C'!$C$8:$Q$313,8,FALSE)</f>
        <v>1.0582499999999999</v>
      </c>
      <c r="M227" s="12">
        <f>VLOOKUP($D227,'2022Data to Complete Appendix C'!$C$8:$Q$313,9,FALSE)</f>
        <v>1593.61</v>
      </c>
      <c r="N227" s="114">
        <f>VLOOKUP($D227,'2022Data to Complete Appendix C'!$C$8:$Q$313,10,FALSE)</f>
        <v>5.1984200000000001E-2</v>
      </c>
      <c r="O227" s="115">
        <f>VLOOKUP($D227,'2022Data to Complete Appendix C'!$C$8:$Q$313,11,FALSE)</f>
        <v>0.56699999999999995</v>
      </c>
      <c r="P227" s="115">
        <f>VLOOKUP($D227,'2022Data to Complete Appendix C'!$C$8:$Q$313,12,FALSE)</f>
        <v>0.772675</v>
      </c>
      <c r="Q227" s="115">
        <f>VLOOKUP($D227,'2022Data to Complete Appendix C'!$C$8:$Q$313,13,FALSE)</f>
        <v>0.67400000000000004</v>
      </c>
      <c r="R227" s="114">
        <f>VLOOKUP($D227,'2022Data to Complete Appendix C'!$C$8:$Q$313,14,FALSE)</f>
        <v>2.2999999999999998</v>
      </c>
      <c r="S227" s="115">
        <f>VLOOKUP($D227,'2022Data to Complete Appendix C'!$C$8:$Q$313,15,FALSE)</f>
        <v>-0.14257300000000001</v>
      </c>
      <c r="T227" s="12">
        <f>IFERROR(VLOOKUP($D227,'2022LodgingbyWUP'!$A$1:$D$98,4,FALSE),0)</f>
        <v>0</v>
      </c>
      <c r="U227" s="12">
        <f t="shared" si="5"/>
        <v>0</v>
      </c>
      <c r="V227" s="12">
        <f>IFERROR(VLOOKUP($D227,Total_DU!$B$5:$Z$174,22,0),0)</f>
        <v>49636</v>
      </c>
      <c r="W227" s="12">
        <f>IFERROR(VLOOKUP($D227,Total_DU!$B$5:$Z$174,23,0),0)</f>
        <v>49835</v>
      </c>
      <c r="X227" s="12">
        <f>IFERROR(VLOOKUP($D227,Total_DU!$B$5:$Z$174,24,0),0)</f>
        <v>49931</v>
      </c>
      <c r="Y227" s="12">
        <f>IFERROR(VLOOKUP($D227,Total_DU!$B$5:$Z$174,25,0),0)</f>
        <v>49926</v>
      </c>
      <c r="Z227" s="12">
        <f>IFERROR(VLOOKUP($D227,Population!$B$5:$Y$174,21,FALSE),0)</f>
        <v>88453</v>
      </c>
      <c r="AA227" s="12">
        <f>IFERROR(VLOOKUP($D227,Population!$B$5:$Y$174,22,FALSE),0)</f>
        <v>89679</v>
      </c>
      <c r="AB227" s="12">
        <f>IFERROR(VLOOKUP($D227,Population!$B$5:$Y$174,23,FALSE),0)</f>
        <v>91919.708629049768</v>
      </c>
      <c r="AC227" s="12">
        <f>IFERROR(VLOOKUP($D227,Population!$B$5:$Y$174,24,FALSE),0)</f>
        <v>91775</v>
      </c>
    </row>
    <row r="228" spans="1:29" ht="15" x14ac:dyDescent="0.25">
      <c r="A228" s="2" t="s">
        <v>23</v>
      </c>
      <c r="B228" s="2" t="s">
        <v>699</v>
      </c>
      <c r="C228" s="2" t="s">
        <v>491</v>
      </c>
      <c r="D228" s="2">
        <v>13123</v>
      </c>
      <c r="E228" s="11">
        <v>2022</v>
      </c>
      <c r="F228" s="12">
        <f>VLOOKUP($D228,'2022Data to Complete Appendix C'!$C$8:$Q$313,2,FALSE)</f>
        <v>108</v>
      </c>
      <c r="G228" s="12">
        <f>VLOOKUP($D228,'2022Data to Complete Appendix C'!$C$8:$Q$313,3,FALSE)</f>
        <v>52</v>
      </c>
      <c r="H228" s="12">
        <f>VLOOKUP($D228,'2022Data to Complete Appendix C'!$C$8:$Q$313,4,FALSE)</f>
        <v>0</v>
      </c>
      <c r="I228" s="12">
        <f>VLOOKUP($D228,'2022Data to Complete Appendix C'!$C$8:$Q$313,5,FALSE)</f>
        <v>164</v>
      </c>
      <c r="J228" s="114">
        <f>VLOOKUP($D228,'2022Data to Complete Appendix C'!$C$8:$Q$313,6,FALSE)</f>
        <v>2.0769199999999999</v>
      </c>
      <c r="K228" s="114">
        <f>VLOOKUP($D228,'2022Data to Complete Appendix C'!$C$8:$Q$313,7,FALSE)</f>
        <v>1.95</v>
      </c>
      <c r="L228" s="114">
        <f>VLOOKUP($D228,'2022Data to Complete Appendix C'!$C$8:$Q$313,8,FALSE)</f>
        <v>1.0651999999999999</v>
      </c>
      <c r="M228" s="12">
        <f>VLOOKUP($D228,'2022Data to Complete Appendix C'!$C$8:$Q$313,9,FALSE)</f>
        <v>3.6113499999999998</v>
      </c>
      <c r="N228" s="114">
        <f>VLOOKUP($D228,'2022Data to Complete Appendix C'!$C$8:$Q$313,10,FALSE)</f>
        <v>6.49391E-2</v>
      </c>
      <c r="O228" s="115">
        <f>VLOOKUP($D228,'2022Data to Complete Appendix C'!$C$8:$Q$313,11,FALSE)</f>
        <v>0.56699999999999995</v>
      </c>
      <c r="P228" s="115">
        <f>VLOOKUP($D228,'2022Data to Complete Appendix C'!$C$8:$Q$313,12,FALSE)</f>
        <v>0.772675</v>
      </c>
      <c r="Q228" s="115">
        <f>VLOOKUP($D228,'2022Data to Complete Appendix C'!$C$8:$Q$313,13,FALSE)</f>
        <v>0.67400000000000004</v>
      </c>
      <c r="R228" s="114">
        <f>VLOOKUP($D228,'2022Data to Complete Appendix C'!$C$8:$Q$313,14,FALSE)</f>
        <v>2.2999999999999998</v>
      </c>
      <c r="S228" s="115">
        <f>VLOOKUP($D228,'2022Data to Complete Appendix C'!$C$8:$Q$313,15,FALSE)</f>
        <v>-0.66073499999999996</v>
      </c>
      <c r="T228" s="12">
        <f>IFERROR(VLOOKUP($D228,'2022LodgingbyWUP'!$A$1:$D$98,4,FALSE),0)</f>
        <v>0</v>
      </c>
      <c r="U228" s="12">
        <f t="shared" si="5"/>
        <v>0</v>
      </c>
      <c r="V228" s="12" t="str">
        <f>IFERROR(VLOOKUP($D228,Total_DU!$B$5:$Z$174,22,0),0)</f>
        <v>NA</v>
      </c>
      <c r="W228" s="12" t="str">
        <f>IFERROR(VLOOKUP($D228,Total_DU!$B$5:$Z$174,23,0),0)</f>
        <v>NA</v>
      </c>
      <c r="X228" s="12" t="str">
        <f>IFERROR(VLOOKUP($D228,Total_DU!$B$5:$Z$174,24,0),0)</f>
        <v>NA</v>
      </c>
      <c r="Y228" s="12" t="str">
        <f>IFERROR(VLOOKUP($D228,Total_DU!$B$5:$Z$174,25,0),0)</f>
        <v>NA</v>
      </c>
      <c r="Z228" s="12" t="str">
        <f>IFERROR(VLOOKUP($D228,Population!$B$5:$Y$174,21,FALSE),0)</f>
        <v>NA</v>
      </c>
      <c r="AA228" s="12" t="str">
        <f>IFERROR(VLOOKUP($D228,Population!$B$5:$Y$174,22,FALSE),0)</f>
        <v>NA</v>
      </c>
      <c r="AB228" s="12" t="str">
        <f>IFERROR(VLOOKUP($D228,Population!$B$5:$Y$174,23,FALSE),0)</f>
        <v>NA</v>
      </c>
      <c r="AC228" s="12" t="str">
        <f>IFERROR(VLOOKUP($D228,Population!$B$5:$Y$174,24,FALSE),0)</f>
        <v>NA</v>
      </c>
    </row>
    <row r="229" spans="1:29" ht="15" x14ac:dyDescent="0.25">
      <c r="A229" s="2" t="s">
        <v>23</v>
      </c>
      <c r="B229" s="105" t="s">
        <v>913</v>
      </c>
      <c r="C229" s="105" t="s">
        <v>97</v>
      </c>
      <c r="D229" s="105">
        <v>20597</v>
      </c>
      <c r="E229" s="11">
        <v>2022</v>
      </c>
      <c r="F229" s="12" t="e">
        <f>VLOOKUP($D229,'2022Data to Complete Appendix C'!$C$8:$Q$313,2,FALSE)</f>
        <v>#N/A</v>
      </c>
      <c r="G229" s="12" t="e">
        <f>VLOOKUP($D229,'2022Data to Complete Appendix C'!$C$8:$Q$313,3,FALSE)</f>
        <v>#N/A</v>
      </c>
      <c r="H229" s="12" t="e">
        <f>VLOOKUP($D229,'2022Data to Complete Appendix C'!$C$8:$Q$313,4,FALSE)</f>
        <v>#N/A</v>
      </c>
      <c r="I229" s="12" t="e">
        <f>VLOOKUP($D229,'2022Data to Complete Appendix C'!$C$8:$Q$313,5,FALSE)</f>
        <v>#N/A</v>
      </c>
      <c r="J229" s="114" t="e">
        <f>VLOOKUP($D229,'2022Data to Complete Appendix C'!$C$8:$Q$313,6,FALSE)</f>
        <v>#N/A</v>
      </c>
      <c r="K229" s="114" t="e">
        <f>VLOOKUP($D229,'2022Data to Complete Appendix C'!$C$8:$Q$313,7,FALSE)</f>
        <v>#N/A</v>
      </c>
      <c r="L229" s="114" t="e">
        <f>VLOOKUP($D229,'2022Data to Complete Appendix C'!$C$8:$Q$313,8,FALSE)</f>
        <v>#N/A</v>
      </c>
      <c r="M229" s="12" t="e">
        <f>VLOOKUP($D229,'2022Data to Complete Appendix C'!$C$8:$Q$313,9,FALSE)</f>
        <v>#N/A</v>
      </c>
      <c r="N229" s="114" t="e">
        <f>VLOOKUP($D229,'2022Data to Complete Appendix C'!$C$8:$Q$313,10,FALSE)</f>
        <v>#N/A</v>
      </c>
      <c r="O229" s="115" t="e">
        <f>VLOOKUP($D229,'2022Data to Complete Appendix C'!$C$8:$Q$313,11,FALSE)</f>
        <v>#N/A</v>
      </c>
      <c r="P229" s="115" t="e">
        <f>VLOOKUP($D229,'2022Data to Complete Appendix C'!$C$8:$Q$313,12,FALSE)</f>
        <v>#N/A</v>
      </c>
      <c r="Q229" s="115" t="e">
        <f>VLOOKUP($D229,'2022Data to Complete Appendix C'!$C$8:$Q$313,13,FALSE)</f>
        <v>#N/A</v>
      </c>
      <c r="R229" s="114" t="e">
        <f>VLOOKUP($D229,'2022Data to Complete Appendix C'!$C$8:$Q$313,14,FALSE)</f>
        <v>#N/A</v>
      </c>
      <c r="S229" s="115" t="e">
        <f>VLOOKUP($D229,'2022Data to Complete Appendix C'!$C$8:$Q$313,15,FALSE)</f>
        <v>#N/A</v>
      </c>
      <c r="T229" s="12">
        <f>IFERROR(VLOOKUP($D229,'2022LodgingbyWUP'!$A$1:$D$98,4,FALSE),0)</f>
        <v>0</v>
      </c>
      <c r="U229" s="12">
        <f t="shared" ref="U229" si="7">IF(T229&gt;0,T229*Q229*R229,0)</f>
        <v>0</v>
      </c>
      <c r="V229" s="12">
        <f>IFERROR(VLOOKUP($D229,Total_DU!$B$5:$Z$174,22,0),0)</f>
        <v>939</v>
      </c>
      <c r="W229" s="12">
        <f>IFERROR(VLOOKUP($D229,Total_DU!$B$5:$Z$174,23,0),0)</f>
        <v>939</v>
      </c>
      <c r="X229" s="12">
        <f>IFERROR(VLOOKUP($D229,Total_DU!$B$5:$Z$174,24,0),0)</f>
        <v>932</v>
      </c>
      <c r="Y229" s="12">
        <f>IFERROR(VLOOKUP($D229,Total_DU!$B$5:$Z$174,25,0),0)</f>
        <v>932</v>
      </c>
      <c r="Z229" s="12">
        <f>IFERROR(VLOOKUP($D229,Population!$B$5:$Y$174,21,FALSE),0)</f>
        <v>1597.9038719105477</v>
      </c>
      <c r="AA229" s="12">
        <f>IFERROR(VLOOKUP($D229,Population!$B$5:$Y$174,22,FALSE),0)</f>
        <v>1597.9039547173895</v>
      </c>
      <c r="AB229" s="12">
        <f>IFERROR(VLOOKUP($D229,Population!$B$5:$Y$174,23,FALSE),0)</f>
        <v>1595.0026183033797</v>
      </c>
      <c r="AC229" s="12">
        <f>IFERROR(VLOOKUP($D229,Population!$B$5:$Y$174,24,FALSE),0)</f>
        <v>1595</v>
      </c>
    </row>
    <row r="230" spans="1:29" ht="15" x14ac:dyDescent="0.25">
      <c r="A230" s="2" t="s">
        <v>23</v>
      </c>
      <c r="B230" s="112" t="s">
        <v>948</v>
      </c>
      <c r="C230" s="112" t="s">
        <v>931</v>
      </c>
      <c r="D230" s="112">
        <v>20721</v>
      </c>
      <c r="E230" s="11">
        <v>2022</v>
      </c>
      <c r="F230" s="12">
        <f>VLOOKUP($D230,'2022Data to Complete Appendix C'!$C$8:$Q$313,2,FALSE)</f>
        <v>2435</v>
      </c>
      <c r="G230" s="12">
        <f>VLOOKUP($D230,'2022Data to Complete Appendix C'!$C$8:$Q$313,3,FALSE)</f>
        <v>1127</v>
      </c>
      <c r="H230" s="12">
        <f>VLOOKUP($D230,'2022Data to Complete Appendix C'!$C$8:$Q$313,4,FALSE)</f>
        <v>0</v>
      </c>
      <c r="I230" s="12">
        <f>VLOOKUP($D230,'2022Data to Complete Appendix C'!$C$8:$Q$313,5,FALSE)</f>
        <v>1487</v>
      </c>
      <c r="J230" s="114">
        <f>VLOOKUP($D230,'2022Data to Complete Appendix C'!$C$8:$Q$313,6,FALSE)</f>
        <v>2.1606000000000001</v>
      </c>
      <c r="K230" s="114">
        <f>VLOOKUP($D230,'2022Data to Complete Appendix C'!$C$8:$Q$313,7,FALSE)</f>
        <v>1.95</v>
      </c>
      <c r="L230" s="114">
        <f>VLOOKUP($D230,'2022Data to Complete Appendix C'!$C$8:$Q$313,8,FALSE)</f>
        <v>1.1248100000000001</v>
      </c>
      <c r="M230" s="12">
        <f>VLOOKUP($D230,'2022Data to Complete Appendix C'!$C$8:$Q$313,9,FALSE)</f>
        <v>155.85400000000001</v>
      </c>
      <c r="N230" s="114">
        <f>VLOOKUP($D230,'2022Data to Complete Appendix C'!$C$8:$Q$313,10,FALSE)</f>
        <v>0.12149</v>
      </c>
      <c r="O230" s="115">
        <f>VLOOKUP($D230,'2022Data to Complete Appendix C'!$C$8:$Q$313,11,FALSE)</f>
        <v>0.56699999999999995</v>
      </c>
      <c r="P230" s="115">
        <f>VLOOKUP($D230,'2022Data to Complete Appendix C'!$C$8:$Q$313,12,FALSE)</f>
        <v>0.772675</v>
      </c>
      <c r="Q230" s="115">
        <f>VLOOKUP($D230,'2022Data to Complete Appendix C'!$C$8:$Q$313,13,FALSE)</f>
        <v>0.67400000000000004</v>
      </c>
      <c r="R230" s="114">
        <f>VLOOKUP($D230,'2022Data to Complete Appendix C'!$C$8:$Q$313,14,FALSE)</f>
        <v>2.2999999999999998</v>
      </c>
      <c r="S230" s="115">
        <f>VLOOKUP($D230,'2022Data to Complete Appendix C'!$C$8:$Q$313,15,FALSE)</f>
        <v>-0.377386</v>
      </c>
      <c r="T230" s="12">
        <f>IFERROR(VLOOKUP($D230,'2022LodgingbyWUP'!$A$1:$D$98,4,FALSE),0)</f>
        <v>0</v>
      </c>
      <c r="U230" s="12">
        <f t="shared" si="5"/>
        <v>0</v>
      </c>
      <c r="V230" s="12" t="str">
        <f>IFERROR(VLOOKUP($D230,Total_DU!$B$5:$Z$174,22,0),0)</f>
        <v>NA</v>
      </c>
      <c r="W230" s="12">
        <f>IFERROR(VLOOKUP($D230,Total_DU!$B$5:$Z$174,23,0),0)</f>
        <v>915</v>
      </c>
      <c r="X230" s="12">
        <f>IFERROR(VLOOKUP($D230,Total_DU!$B$5:$Z$174,24,0),0)</f>
        <v>4009</v>
      </c>
      <c r="Y230" s="12">
        <f>IFERROR(VLOOKUP($D230,Total_DU!$B$5:$Z$174,25,0),0)</f>
        <v>7938</v>
      </c>
      <c r="Z230" s="12" t="str">
        <f>IFERROR(VLOOKUP($D230,Population!$B$5:$Y$174,21,FALSE),0)</f>
        <v>NA</v>
      </c>
      <c r="AA230" s="12">
        <f>IFERROR(VLOOKUP($D230,Population!$B$5:$Y$174,22,FALSE),0)</f>
        <v>1835</v>
      </c>
      <c r="AB230" s="12">
        <f>IFERROR(VLOOKUP($D230,Population!$B$5:$Y$174,23,FALSE),0)</f>
        <v>8063.6978585867655</v>
      </c>
      <c r="AC230" s="12">
        <f>IFERROR(VLOOKUP($D230,Population!$B$5:$Y$174,24,FALSE),0)</f>
        <v>15966</v>
      </c>
    </row>
  </sheetData>
  <autoFilter ref="A6:T230" xr:uid="{00000000-0009-0000-0000-000005000000}">
    <sortState xmlns:xlrd2="http://schemas.microsoft.com/office/spreadsheetml/2017/richdata2" ref="A7:T230">
      <sortCondition ref="A6:A230"/>
    </sortState>
  </autoFilter>
  <conditionalFormatting sqref="C169">
    <cfRule type="expression" dxfId="44" priority="5">
      <formula>MOD(ROW(),2)=0</formula>
    </cfRule>
  </conditionalFormatting>
  <conditionalFormatting sqref="B229">
    <cfRule type="expression" dxfId="43" priority="3">
      <formula>MOD(ROW(),2)=0</formula>
    </cfRule>
  </conditionalFormatting>
  <conditionalFormatting sqref="C229">
    <cfRule type="expression" dxfId="42" priority="2">
      <formula>MOD(ROW(),2)=0</formula>
    </cfRule>
  </conditionalFormatting>
  <conditionalFormatting sqref="D229">
    <cfRule type="expression" dxfId="41" priority="1">
      <formula>MOD(ROW(),2)=0</formula>
    </cfRule>
  </conditionalFormatting>
  <pageMargins left="0.75" right="0.75" top="1" bottom="1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13"/>
  <sheetViews>
    <sheetView workbookViewId="0">
      <selection activeCell="H17" sqref="H17"/>
    </sheetView>
  </sheetViews>
  <sheetFormatPr defaultColWidth="8" defaultRowHeight="14.25" x14ac:dyDescent="0.2"/>
  <cols>
    <col min="1" max="1" width="17.375" customWidth="1"/>
    <col min="2" max="2" width="51" bestFit="1" customWidth="1"/>
    <col min="3" max="3" width="11.625" bestFit="1" customWidth="1"/>
    <col min="4" max="7" width="12.625" bestFit="1" customWidth="1"/>
    <col min="8" max="8" width="10.5" bestFit="1" customWidth="1"/>
    <col min="9" max="9" width="10.25" bestFit="1" customWidth="1"/>
    <col min="10" max="10" width="12.625" bestFit="1" customWidth="1"/>
    <col min="11" max="11" width="10.75" bestFit="1" customWidth="1"/>
    <col min="12" max="13" width="12.5" bestFit="1" customWidth="1"/>
    <col min="14" max="14" width="10.25" bestFit="1" customWidth="1"/>
    <col min="15" max="15" width="10.75" bestFit="1" customWidth="1"/>
    <col min="16" max="16" width="12.625" bestFit="1" customWidth="1"/>
    <col min="17" max="17" width="18" bestFit="1" customWidth="1"/>
    <col min="257" max="257" width="12.625" customWidth="1"/>
    <col min="258" max="258" width="25.375" customWidth="1"/>
    <col min="259" max="272" width="12.625" customWidth="1"/>
    <col min="273" max="273" width="17.75" customWidth="1"/>
    <col min="513" max="513" width="12.625" customWidth="1"/>
    <col min="514" max="514" width="25.375" customWidth="1"/>
    <col min="515" max="528" width="12.625" customWidth="1"/>
    <col min="529" max="529" width="17.75" customWidth="1"/>
    <col min="769" max="769" width="12.625" customWidth="1"/>
    <col min="770" max="770" width="25.375" customWidth="1"/>
    <col min="771" max="784" width="12.625" customWidth="1"/>
    <col min="785" max="785" width="17.75" customWidth="1"/>
    <col min="1025" max="1025" width="12.625" customWidth="1"/>
    <col min="1026" max="1026" width="25.375" customWidth="1"/>
    <col min="1027" max="1040" width="12.625" customWidth="1"/>
    <col min="1041" max="1041" width="17.75" customWidth="1"/>
    <col min="1281" max="1281" width="12.625" customWidth="1"/>
    <col min="1282" max="1282" width="25.375" customWidth="1"/>
    <col min="1283" max="1296" width="12.625" customWidth="1"/>
    <col min="1297" max="1297" width="17.75" customWidth="1"/>
    <col min="1537" max="1537" width="12.625" customWidth="1"/>
    <col min="1538" max="1538" width="25.375" customWidth="1"/>
    <col min="1539" max="1552" width="12.625" customWidth="1"/>
    <col min="1553" max="1553" width="17.75" customWidth="1"/>
    <col min="1793" max="1793" width="12.625" customWidth="1"/>
    <col min="1794" max="1794" width="25.375" customWidth="1"/>
    <col min="1795" max="1808" width="12.625" customWidth="1"/>
    <col min="1809" max="1809" width="17.75" customWidth="1"/>
    <col min="2049" max="2049" width="12.625" customWidth="1"/>
    <col min="2050" max="2050" width="25.375" customWidth="1"/>
    <col min="2051" max="2064" width="12.625" customWidth="1"/>
    <col min="2065" max="2065" width="17.75" customWidth="1"/>
    <col min="2305" max="2305" width="12.625" customWidth="1"/>
    <col min="2306" max="2306" width="25.375" customWidth="1"/>
    <col min="2307" max="2320" width="12.625" customWidth="1"/>
    <col min="2321" max="2321" width="17.75" customWidth="1"/>
    <col min="2561" max="2561" width="12.625" customWidth="1"/>
    <col min="2562" max="2562" width="25.375" customWidth="1"/>
    <col min="2563" max="2576" width="12.625" customWidth="1"/>
    <col min="2577" max="2577" width="17.75" customWidth="1"/>
    <col min="2817" max="2817" width="12.625" customWidth="1"/>
    <col min="2818" max="2818" width="25.375" customWidth="1"/>
    <col min="2819" max="2832" width="12.625" customWidth="1"/>
    <col min="2833" max="2833" width="17.75" customWidth="1"/>
    <col min="3073" max="3073" width="12.625" customWidth="1"/>
    <col min="3074" max="3074" width="25.375" customWidth="1"/>
    <col min="3075" max="3088" width="12.625" customWidth="1"/>
    <col min="3089" max="3089" width="17.75" customWidth="1"/>
    <col min="3329" max="3329" width="12.625" customWidth="1"/>
    <col min="3330" max="3330" width="25.375" customWidth="1"/>
    <col min="3331" max="3344" width="12.625" customWidth="1"/>
    <col min="3345" max="3345" width="17.75" customWidth="1"/>
    <col min="3585" max="3585" width="12.625" customWidth="1"/>
    <col min="3586" max="3586" width="25.375" customWidth="1"/>
    <col min="3587" max="3600" width="12.625" customWidth="1"/>
    <col min="3601" max="3601" width="17.75" customWidth="1"/>
    <col min="3841" max="3841" width="12.625" customWidth="1"/>
    <col min="3842" max="3842" width="25.375" customWidth="1"/>
    <col min="3843" max="3856" width="12.625" customWidth="1"/>
    <col min="3857" max="3857" width="17.75" customWidth="1"/>
    <col min="4097" max="4097" width="12.625" customWidth="1"/>
    <col min="4098" max="4098" width="25.375" customWidth="1"/>
    <col min="4099" max="4112" width="12.625" customWidth="1"/>
    <col min="4113" max="4113" width="17.75" customWidth="1"/>
    <col min="4353" max="4353" width="12.625" customWidth="1"/>
    <col min="4354" max="4354" width="25.375" customWidth="1"/>
    <col min="4355" max="4368" width="12.625" customWidth="1"/>
    <col min="4369" max="4369" width="17.75" customWidth="1"/>
    <col min="4609" max="4609" width="12.625" customWidth="1"/>
    <col min="4610" max="4610" width="25.375" customWidth="1"/>
    <col min="4611" max="4624" width="12.625" customWidth="1"/>
    <col min="4625" max="4625" width="17.75" customWidth="1"/>
    <col min="4865" max="4865" width="12.625" customWidth="1"/>
    <col min="4866" max="4866" width="25.375" customWidth="1"/>
    <col min="4867" max="4880" width="12.625" customWidth="1"/>
    <col min="4881" max="4881" width="17.75" customWidth="1"/>
    <col min="5121" max="5121" width="12.625" customWidth="1"/>
    <col min="5122" max="5122" width="25.375" customWidth="1"/>
    <col min="5123" max="5136" width="12.625" customWidth="1"/>
    <col min="5137" max="5137" width="17.75" customWidth="1"/>
    <col min="5377" max="5377" width="12.625" customWidth="1"/>
    <col min="5378" max="5378" width="25.375" customWidth="1"/>
    <col min="5379" max="5392" width="12.625" customWidth="1"/>
    <col min="5393" max="5393" width="17.75" customWidth="1"/>
    <col min="5633" max="5633" width="12.625" customWidth="1"/>
    <col min="5634" max="5634" width="25.375" customWidth="1"/>
    <col min="5635" max="5648" width="12.625" customWidth="1"/>
    <col min="5649" max="5649" width="17.75" customWidth="1"/>
    <col min="5889" max="5889" width="12.625" customWidth="1"/>
    <col min="5890" max="5890" width="25.375" customWidth="1"/>
    <col min="5891" max="5904" width="12.625" customWidth="1"/>
    <col min="5905" max="5905" width="17.75" customWidth="1"/>
    <col min="6145" max="6145" width="12.625" customWidth="1"/>
    <col min="6146" max="6146" width="25.375" customWidth="1"/>
    <col min="6147" max="6160" width="12.625" customWidth="1"/>
    <col min="6161" max="6161" width="17.75" customWidth="1"/>
    <col min="6401" max="6401" width="12.625" customWidth="1"/>
    <col min="6402" max="6402" width="25.375" customWidth="1"/>
    <col min="6403" max="6416" width="12.625" customWidth="1"/>
    <col min="6417" max="6417" width="17.75" customWidth="1"/>
    <col min="6657" max="6657" width="12.625" customWidth="1"/>
    <col min="6658" max="6658" width="25.375" customWidth="1"/>
    <col min="6659" max="6672" width="12.625" customWidth="1"/>
    <col min="6673" max="6673" width="17.75" customWidth="1"/>
    <col min="6913" max="6913" width="12.625" customWidth="1"/>
    <col min="6914" max="6914" width="25.375" customWidth="1"/>
    <col min="6915" max="6928" width="12.625" customWidth="1"/>
    <col min="6929" max="6929" width="17.75" customWidth="1"/>
    <col min="7169" max="7169" width="12.625" customWidth="1"/>
    <col min="7170" max="7170" width="25.375" customWidth="1"/>
    <col min="7171" max="7184" width="12.625" customWidth="1"/>
    <col min="7185" max="7185" width="17.75" customWidth="1"/>
    <col min="7425" max="7425" width="12.625" customWidth="1"/>
    <col min="7426" max="7426" width="25.375" customWidth="1"/>
    <col min="7427" max="7440" width="12.625" customWidth="1"/>
    <col min="7441" max="7441" width="17.75" customWidth="1"/>
    <col min="7681" max="7681" width="12.625" customWidth="1"/>
    <col min="7682" max="7682" width="25.375" customWidth="1"/>
    <col min="7683" max="7696" width="12.625" customWidth="1"/>
    <col min="7697" max="7697" width="17.75" customWidth="1"/>
    <col min="7937" max="7937" width="12.625" customWidth="1"/>
    <col min="7938" max="7938" width="25.375" customWidth="1"/>
    <col min="7939" max="7952" width="12.625" customWidth="1"/>
    <col min="7953" max="7953" width="17.75" customWidth="1"/>
    <col min="8193" max="8193" width="12.625" customWidth="1"/>
    <col min="8194" max="8194" width="25.375" customWidth="1"/>
    <col min="8195" max="8208" width="12.625" customWidth="1"/>
    <col min="8209" max="8209" width="17.75" customWidth="1"/>
    <col min="8449" max="8449" width="12.625" customWidth="1"/>
    <col min="8450" max="8450" width="25.375" customWidth="1"/>
    <col min="8451" max="8464" width="12.625" customWidth="1"/>
    <col min="8465" max="8465" width="17.75" customWidth="1"/>
    <col min="8705" max="8705" width="12.625" customWidth="1"/>
    <col min="8706" max="8706" width="25.375" customWidth="1"/>
    <col min="8707" max="8720" width="12.625" customWidth="1"/>
    <col min="8721" max="8721" width="17.75" customWidth="1"/>
    <col min="8961" max="8961" width="12.625" customWidth="1"/>
    <col min="8962" max="8962" width="25.375" customWidth="1"/>
    <col min="8963" max="8976" width="12.625" customWidth="1"/>
    <col min="8977" max="8977" width="17.75" customWidth="1"/>
    <col min="9217" max="9217" width="12.625" customWidth="1"/>
    <col min="9218" max="9218" width="25.375" customWidth="1"/>
    <col min="9219" max="9232" width="12.625" customWidth="1"/>
    <col min="9233" max="9233" width="17.75" customWidth="1"/>
    <col min="9473" max="9473" width="12.625" customWidth="1"/>
    <col min="9474" max="9474" width="25.375" customWidth="1"/>
    <col min="9475" max="9488" width="12.625" customWidth="1"/>
    <col min="9489" max="9489" width="17.75" customWidth="1"/>
    <col min="9729" max="9729" width="12.625" customWidth="1"/>
    <col min="9730" max="9730" width="25.375" customWidth="1"/>
    <col min="9731" max="9744" width="12.625" customWidth="1"/>
    <col min="9745" max="9745" width="17.75" customWidth="1"/>
    <col min="9985" max="9985" width="12.625" customWidth="1"/>
    <col min="9986" max="9986" width="25.375" customWidth="1"/>
    <col min="9987" max="10000" width="12.625" customWidth="1"/>
    <col min="10001" max="10001" width="17.75" customWidth="1"/>
    <col min="10241" max="10241" width="12.625" customWidth="1"/>
    <col min="10242" max="10242" width="25.375" customWidth="1"/>
    <col min="10243" max="10256" width="12.625" customWidth="1"/>
    <col min="10257" max="10257" width="17.75" customWidth="1"/>
    <col min="10497" max="10497" width="12.625" customWidth="1"/>
    <col min="10498" max="10498" width="25.375" customWidth="1"/>
    <col min="10499" max="10512" width="12.625" customWidth="1"/>
    <col min="10513" max="10513" width="17.75" customWidth="1"/>
    <col min="10753" max="10753" width="12.625" customWidth="1"/>
    <col min="10754" max="10754" width="25.375" customWidth="1"/>
    <col min="10755" max="10768" width="12.625" customWidth="1"/>
    <col min="10769" max="10769" width="17.75" customWidth="1"/>
    <col min="11009" max="11009" width="12.625" customWidth="1"/>
    <col min="11010" max="11010" width="25.375" customWidth="1"/>
    <col min="11011" max="11024" width="12.625" customWidth="1"/>
    <col min="11025" max="11025" width="17.75" customWidth="1"/>
    <col min="11265" max="11265" width="12.625" customWidth="1"/>
    <col min="11266" max="11266" width="25.375" customWidth="1"/>
    <col min="11267" max="11280" width="12.625" customWidth="1"/>
    <col min="11281" max="11281" width="17.75" customWidth="1"/>
    <col min="11521" max="11521" width="12.625" customWidth="1"/>
    <col min="11522" max="11522" width="25.375" customWidth="1"/>
    <col min="11523" max="11536" width="12.625" customWidth="1"/>
    <col min="11537" max="11537" width="17.75" customWidth="1"/>
    <col min="11777" max="11777" width="12.625" customWidth="1"/>
    <col min="11778" max="11778" width="25.375" customWidth="1"/>
    <col min="11779" max="11792" width="12.625" customWidth="1"/>
    <col min="11793" max="11793" width="17.75" customWidth="1"/>
    <col min="12033" max="12033" width="12.625" customWidth="1"/>
    <col min="12034" max="12034" width="25.375" customWidth="1"/>
    <col min="12035" max="12048" width="12.625" customWidth="1"/>
    <col min="12049" max="12049" width="17.75" customWidth="1"/>
    <col min="12289" max="12289" width="12.625" customWidth="1"/>
    <col min="12290" max="12290" width="25.375" customWidth="1"/>
    <col min="12291" max="12304" width="12.625" customWidth="1"/>
    <col min="12305" max="12305" width="17.75" customWidth="1"/>
    <col min="12545" max="12545" width="12.625" customWidth="1"/>
    <col min="12546" max="12546" width="25.375" customWidth="1"/>
    <col min="12547" max="12560" width="12.625" customWidth="1"/>
    <col min="12561" max="12561" width="17.75" customWidth="1"/>
    <col min="12801" max="12801" width="12.625" customWidth="1"/>
    <col min="12802" max="12802" width="25.375" customWidth="1"/>
    <col min="12803" max="12816" width="12.625" customWidth="1"/>
    <col min="12817" max="12817" width="17.75" customWidth="1"/>
    <col min="13057" max="13057" width="12.625" customWidth="1"/>
    <col min="13058" max="13058" width="25.375" customWidth="1"/>
    <col min="13059" max="13072" width="12.625" customWidth="1"/>
    <col min="13073" max="13073" width="17.75" customWidth="1"/>
    <col min="13313" max="13313" width="12.625" customWidth="1"/>
    <col min="13314" max="13314" width="25.375" customWidth="1"/>
    <col min="13315" max="13328" width="12.625" customWidth="1"/>
    <col min="13329" max="13329" width="17.75" customWidth="1"/>
    <col min="13569" max="13569" width="12.625" customWidth="1"/>
    <col min="13570" max="13570" width="25.375" customWidth="1"/>
    <col min="13571" max="13584" width="12.625" customWidth="1"/>
    <col min="13585" max="13585" width="17.75" customWidth="1"/>
    <col min="13825" max="13825" width="12.625" customWidth="1"/>
    <col min="13826" max="13826" width="25.375" customWidth="1"/>
    <col min="13827" max="13840" width="12.625" customWidth="1"/>
    <col min="13841" max="13841" width="17.75" customWidth="1"/>
    <col min="14081" max="14081" width="12.625" customWidth="1"/>
    <col min="14082" max="14082" width="25.375" customWidth="1"/>
    <col min="14083" max="14096" width="12.625" customWidth="1"/>
    <col min="14097" max="14097" width="17.75" customWidth="1"/>
    <col min="14337" max="14337" width="12.625" customWidth="1"/>
    <col min="14338" max="14338" width="25.375" customWidth="1"/>
    <col min="14339" max="14352" width="12.625" customWidth="1"/>
    <col min="14353" max="14353" width="17.75" customWidth="1"/>
    <col min="14593" max="14593" width="12.625" customWidth="1"/>
    <col min="14594" max="14594" width="25.375" customWidth="1"/>
    <col min="14595" max="14608" width="12.625" customWidth="1"/>
    <col min="14609" max="14609" width="17.75" customWidth="1"/>
    <col min="14849" max="14849" width="12.625" customWidth="1"/>
    <col min="14850" max="14850" width="25.375" customWidth="1"/>
    <col min="14851" max="14864" width="12.625" customWidth="1"/>
    <col min="14865" max="14865" width="17.75" customWidth="1"/>
    <col min="15105" max="15105" width="12.625" customWidth="1"/>
    <col min="15106" max="15106" width="25.375" customWidth="1"/>
    <col min="15107" max="15120" width="12.625" customWidth="1"/>
    <col min="15121" max="15121" width="17.75" customWidth="1"/>
    <col min="15361" max="15361" width="12.625" customWidth="1"/>
    <col min="15362" max="15362" width="25.375" customWidth="1"/>
    <col min="15363" max="15376" width="12.625" customWidth="1"/>
    <col min="15377" max="15377" width="17.75" customWidth="1"/>
    <col min="15617" max="15617" width="12.625" customWidth="1"/>
    <col min="15618" max="15618" width="25.375" customWidth="1"/>
    <col min="15619" max="15632" width="12.625" customWidth="1"/>
    <col min="15633" max="15633" width="17.75" customWidth="1"/>
    <col min="15873" max="15873" width="12.625" customWidth="1"/>
    <col min="15874" max="15874" width="25.375" customWidth="1"/>
    <col min="15875" max="15888" width="12.625" customWidth="1"/>
    <col min="15889" max="15889" width="17.75" customWidth="1"/>
    <col min="16129" max="16129" width="12.625" customWidth="1"/>
    <col min="16130" max="16130" width="25.375" customWidth="1"/>
    <col min="16131" max="16144" width="12.625" customWidth="1"/>
    <col min="16145" max="16145" width="17.75" customWidth="1"/>
  </cols>
  <sheetData>
    <row r="1" spans="1:17" ht="15" x14ac:dyDescent="0.25">
      <c r="A1" s="68" t="s">
        <v>341</v>
      </c>
      <c r="M1" s="69"/>
    </row>
    <row r="2" spans="1:17" ht="15" x14ac:dyDescent="0.25">
      <c r="A2" s="68" t="s">
        <v>342</v>
      </c>
      <c r="M2" s="69"/>
    </row>
    <row r="3" spans="1:17" ht="15" x14ac:dyDescent="0.25">
      <c r="A3" s="68"/>
      <c r="M3" s="69"/>
    </row>
    <row r="4" spans="1:17" ht="15" x14ac:dyDescent="0.25">
      <c r="A4" s="150" t="s">
        <v>728</v>
      </c>
      <c r="B4" s="165">
        <v>44953</v>
      </c>
    </row>
    <row r="5" spans="1:17" ht="15" x14ac:dyDescent="0.25">
      <c r="A5" s="68" t="s">
        <v>178</v>
      </c>
      <c r="B5" s="151"/>
      <c r="C5" s="151">
        <v>1</v>
      </c>
      <c r="D5" s="152">
        <v>2</v>
      </c>
      <c r="E5" s="151">
        <v>3</v>
      </c>
      <c r="F5" s="152">
        <v>4</v>
      </c>
      <c r="G5" s="151">
        <v>5</v>
      </c>
      <c r="H5" s="152">
        <v>6</v>
      </c>
      <c r="I5" s="151">
        <v>7</v>
      </c>
      <c r="J5" s="152">
        <v>8</v>
      </c>
      <c r="K5" s="151">
        <v>9</v>
      </c>
      <c r="L5" s="152">
        <v>10</v>
      </c>
      <c r="M5" s="151">
        <v>11</v>
      </c>
      <c r="N5" s="152">
        <v>12</v>
      </c>
      <c r="O5" s="151">
        <v>13</v>
      </c>
      <c r="P5" s="152">
        <v>14</v>
      </c>
      <c r="Q5" s="151">
        <v>15</v>
      </c>
    </row>
    <row r="6" spans="1:17" ht="85.5" x14ac:dyDescent="0.2">
      <c r="A6" s="118" t="s">
        <v>182</v>
      </c>
      <c r="B6" s="118" t="s">
        <v>183</v>
      </c>
      <c r="C6" s="118" t="s">
        <v>729</v>
      </c>
      <c r="D6" s="118" t="s">
        <v>730</v>
      </c>
      <c r="E6" s="118" t="s">
        <v>731</v>
      </c>
      <c r="F6" s="118" t="s">
        <v>732</v>
      </c>
      <c r="G6" s="118" t="s">
        <v>733</v>
      </c>
      <c r="H6" s="118" t="s">
        <v>734</v>
      </c>
      <c r="I6" s="118" t="s">
        <v>735</v>
      </c>
      <c r="J6" s="118" t="s">
        <v>736</v>
      </c>
      <c r="K6" s="118" t="s">
        <v>737</v>
      </c>
      <c r="L6" s="118" t="s">
        <v>738</v>
      </c>
      <c r="M6" s="119" t="s">
        <v>739</v>
      </c>
      <c r="N6" s="118" t="s">
        <v>740</v>
      </c>
      <c r="O6" s="117" t="s">
        <v>950</v>
      </c>
      <c r="P6" s="118" t="s">
        <v>741</v>
      </c>
      <c r="Q6" s="118" t="s">
        <v>742</v>
      </c>
    </row>
    <row r="7" spans="1:17" x14ac:dyDescent="0.2">
      <c r="A7" s="153" t="s">
        <v>743</v>
      </c>
      <c r="B7" s="153" t="s">
        <v>744</v>
      </c>
      <c r="C7" s="153" t="s">
        <v>745</v>
      </c>
      <c r="D7" s="153" t="s">
        <v>184</v>
      </c>
      <c r="E7" s="153" t="s">
        <v>185</v>
      </c>
      <c r="F7" s="153" t="s">
        <v>186</v>
      </c>
      <c r="G7" s="153" t="s">
        <v>187</v>
      </c>
      <c r="H7" s="153" t="s">
        <v>188</v>
      </c>
      <c r="I7" s="153" t="s">
        <v>189</v>
      </c>
      <c r="J7" s="153" t="s">
        <v>190</v>
      </c>
      <c r="K7" s="153" t="s">
        <v>191</v>
      </c>
      <c r="L7" s="153" t="s">
        <v>192</v>
      </c>
      <c r="M7" s="154" t="s">
        <v>193</v>
      </c>
      <c r="N7" s="153" t="s">
        <v>194</v>
      </c>
      <c r="O7" s="155" t="s">
        <v>195</v>
      </c>
      <c r="P7" s="153" t="s">
        <v>196</v>
      </c>
      <c r="Q7" s="153" t="s">
        <v>197</v>
      </c>
    </row>
    <row r="8" spans="1:17" x14ac:dyDescent="0.2">
      <c r="A8" s="156" t="s">
        <v>50</v>
      </c>
      <c r="B8" s="156" t="s">
        <v>49</v>
      </c>
      <c r="C8" s="156">
        <v>3522</v>
      </c>
      <c r="D8">
        <v>10534</v>
      </c>
      <c r="E8">
        <v>4827</v>
      </c>
      <c r="F8">
        <v>0</v>
      </c>
      <c r="G8">
        <v>7118</v>
      </c>
      <c r="H8">
        <v>2.1823100000000002</v>
      </c>
      <c r="I8">
        <v>1.95</v>
      </c>
      <c r="J8">
        <v>1.16557</v>
      </c>
      <c r="K8">
        <v>894.40700000000004</v>
      </c>
      <c r="L8">
        <v>0.15632599999999999</v>
      </c>
      <c r="M8">
        <v>0.442</v>
      </c>
      <c r="N8">
        <v>0.70704999999999996</v>
      </c>
      <c r="O8">
        <v>0.64200000000000002</v>
      </c>
      <c r="P8">
        <v>2.7</v>
      </c>
      <c r="Q8">
        <v>-3.4660999999999997E-2</v>
      </c>
    </row>
    <row r="9" spans="1:17" x14ac:dyDescent="0.2">
      <c r="A9" s="156" t="s">
        <v>50</v>
      </c>
      <c r="B9" s="156" t="s">
        <v>49</v>
      </c>
      <c r="C9" s="156">
        <v>7104</v>
      </c>
      <c r="D9">
        <v>110839</v>
      </c>
      <c r="E9">
        <v>50309</v>
      </c>
      <c r="F9">
        <v>1158</v>
      </c>
      <c r="G9">
        <v>66267</v>
      </c>
      <c r="H9">
        <v>2.20316</v>
      </c>
      <c r="I9">
        <v>1.95</v>
      </c>
      <c r="J9">
        <v>1.16028</v>
      </c>
      <c r="K9">
        <v>9110.6200000000008</v>
      </c>
      <c r="L9">
        <v>0.15332699999999999</v>
      </c>
      <c r="M9">
        <v>0.442</v>
      </c>
      <c r="N9">
        <v>0.70704999999999996</v>
      </c>
      <c r="O9">
        <v>0.64200000000000002</v>
      </c>
      <c r="P9">
        <v>2.7</v>
      </c>
      <c r="Q9">
        <v>-0.15393899999999999</v>
      </c>
    </row>
    <row r="10" spans="1:17" x14ac:dyDescent="0.2">
      <c r="A10" s="156" t="s">
        <v>50</v>
      </c>
      <c r="B10" s="156" t="s">
        <v>12</v>
      </c>
      <c r="C10" s="156">
        <v>1512</v>
      </c>
      <c r="D10">
        <v>6965</v>
      </c>
      <c r="E10">
        <v>3365</v>
      </c>
      <c r="F10">
        <v>298</v>
      </c>
      <c r="G10">
        <v>4683</v>
      </c>
      <c r="H10">
        <v>2.0698400000000001</v>
      </c>
      <c r="I10">
        <v>1.95</v>
      </c>
      <c r="J10">
        <v>1.2346699999999999</v>
      </c>
      <c r="K10">
        <v>838.2</v>
      </c>
      <c r="L10">
        <v>0.19941999999999999</v>
      </c>
      <c r="M10">
        <v>0.442</v>
      </c>
      <c r="N10">
        <v>0.70704999999999996</v>
      </c>
      <c r="O10">
        <v>0.64200000000000002</v>
      </c>
      <c r="P10">
        <v>2.7</v>
      </c>
      <c r="Q10">
        <v>0.16928000000000001</v>
      </c>
    </row>
    <row r="11" spans="1:17" x14ac:dyDescent="0.2">
      <c r="A11" s="156" t="s">
        <v>50</v>
      </c>
      <c r="B11" s="156" t="s">
        <v>81</v>
      </c>
      <c r="C11" s="156">
        <v>871</v>
      </c>
      <c r="D11">
        <v>26665</v>
      </c>
      <c r="E11">
        <v>13450</v>
      </c>
      <c r="F11">
        <v>764</v>
      </c>
      <c r="G11">
        <v>18351</v>
      </c>
      <c r="H11">
        <v>1.9825299999999999</v>
      </c>
      <c r="I11">
        <v>1.95</v>
      </c>
      <c r="J11">
        <v>1.22773</v>
      </c>
      <c r="K11">
        <v>3114.02</v>
      </c>
      <c r="L11">
        <v>0.187999</v>
      </c>
      <c r="M11">
        <v>0.442</v>
      </c>
      <c r="N11">
        <v>0.70704999999999996</v>
      </c>
      <c r="O11">
        <v>0.64200000000000002</v>
      </c>
      <c r="P11">
        <v>2.7</v>
      </c>
      <c r="Q11">
        <v>0.168099</v>
      </c>
    </row>
    <row r="12" spans="1:17" x14ac:dyDescent="0.2">
      <c r="A12" s="156" t="s">
        <v>50</v>
      </c>
      <c r="B12" s="156" t="s">
        <v>103</v>
      </c>
      <c r="C12" s="156">
        <v>99913</v>
      </c>
      <c r="D12">
        <v>1007</v>
      </c>
      <c r="E12">
        <v>543</v>
      </c>
      <c r="F12">
        <v>0</v>
      </c>
      <c r="G12">
        <v>897</v>
      </c>
      <c r="H12">
        <v>1.8545100000000001</v>
      </c>
      <c r="I12">
        <v>1.95</v>
      </c>
      <c r="J12">
        <v>1.22475</v>
      </c>
      <c r="K12">
        <v>116.06100000000001</v>
      </c>
      <c r="L12">
        <v>0.17610100000000001</v>
      </c>
      <c r="M12">
        <v>0.442</v>
      </c>
      <c r="N12">
        <v>0.70704999999999996</v>
      </c>
      <c r="O12">
        <v>0.64200000000000002</v>
      </c>
      <c r="P12">
        <v>2.7</v>
      </c>
      <c r="Q12">
        <v>-9.0983400000000006E-2</v>
      </c>
    </row>
    <row r="13" spans="1:17" x14ac:dyDescent="0.2">
      <c r="A13" s="156" t="s">
        <v>50</v>
      </c>
      <c r="B13" s="156" t="s">
        <v>107</v>
      </c>
      <c r="C13" s="156">
        <v>718</v>
      </c>
      <c r="D13">
        <v>1602</v>
      </c>
      <c r="E13">
        <v>850</v>
      </c>
      <c r="F13">
        <v>160</v>
      </c>
      <c r="G13">
        <v>1924</v>
      </c>
      <c r="H13">
        <v>2.2999999999999998</v>
      </c>
      <c r="I13">
        <v>2.2999999999999998</v>
      </c>
      <c r="J13">
        <v>1.4172800000000001</v>
      </c>
      <c r="K13">
        <v>342.80799999999999</v>
      </c>
      <c r="L13">
        <v>0.28739599999999998</v>
      </c>
      <c r="M13">
        <v>0.442</v>
      </c>
      <c r="N13">
        <v>0.70704999999999996</v>
      </c>
      <c r="O13">
        <v>0.64200000000000002</v>
      </c>
      <c r="P13">
        <v>2.7</v>
      </c>
      <c r="Q13">
        <v>1.7223599999999999E-2</v>
      </c>
    </row>
    <row r="14" spans="1:17" x14ac:dyDescent="0.2">
      <c r="A14" s="156" t="s">
        <v>50</v>
      </c>
      <c r="B14" s="156" t="s">
        <v>114</v>
      </c>
      <c r="C14" s="156">
        <v>8626</v>
      </c>
      <c r="D14">
        <v>581</v>
      </c>
      <c r="E14">
        <v>331</v>
      </c>
      <c r="F14">
        <v>0</v>
      </c>
      <c r="G14">
        <v>434</v>
      </c>
      <c r="H14">
        <v>1.75529</v>
      </c>
      <c r="I14">
        <v>1.95</v>
      </c>
      <c r="J14">
        <v>1.25789</v>
      </c>
      <c r="K14">
        <v>76.837100000000007</v>
      </c>
      <c r="L14">
        <v>0.18840100000000001</v>
      </c>
      <c r="M14">
        <v>0.442</v>
      </c>
      <c r="N14">
        <v>0.70704999999999996</v>
      </c>
      <c r="O14">
        <v>0.64200000000000002</v>
      </c>
      <c r="P14">
        <v>2.7</v>
      </c>
      <c r="Q14">
        <v>0.487705</v>
      </c>
    </row>
    <row r="15" spans="1:17" x14ac:dyDescent="0.2">
      <c r="A15" s="156" t="s">
        <v>50</v>
      </c>
      <c r="B15" s="156" t="s">
        <v>116</v>
      </c>
      <c r="C15" s="156">
        <v>7768</v>
      </c>
      <c r="D15">
        <v>223</v>
      </c>
      <c r="E15">
        <v>108</v>
      </c>
      <c r="F15">
        <v>0</v>
      </c>
      <c r="G15">
        <v>398</v>
      </c>
      <c r="H15">
        <v>2.06481</v>
      </c>
      <c r="I15">
        <v>1.95</v>
      </c>
      <c r="J15">
        <v>1.19702</v>
      </c>
      <c r="K15">
        <v>22.530999999999999</v>
      </c>
      <c r="L15">
        <v>0.17261000000000001</v>
      </c>
      <c r="M15">
        <v>0.442</v>
      </c>
      <c r="N15">
        <v>0.70704999999999996</v>
      </c>
      <c r="O15">
        <v>0.64200000000000002</v>
      </c>
      <c r="P15">
        <v>2.7</v>
      </c>
      <c r="Q15">
        <v>1.7223599999999999E-2</v>
      </c>
    </row>
    <row r="16" spans="1:17" x14ac:dyDescent="0.2">
      <c r="A16" s="156" t="s">
        <v>50</v>
      </c>
      <c r="B16" s="156" t="s">
        <v>6</v>
      </c>
      <c r="C16" s="156">
        <v>99916</v>
      </c>
      <c r="D16">
        <v>1580</v>
      </c>
      <c r="E16">
        <v>832</v>
      </c>
      <c r="F16">
        <v>0</v>
      </c>
      <c r="G16">
        <v>1265</v>
      </c>
      <c r="H16">
        <v>1.8990400000000001</v>
      </c>
      <c r="I16">
        <v>1.95</v>
      </c>
      <c r="J16">
        <v>1.22475</v>
      </c>
      <c r="K16">
        <v>182.102</v>
      </c>
      <c r="L16">
        <v>0.17957000000000001</v>
      </c>
      <c r="M16">
        <v>0.442</v>
      </c>
      <c r="N16">
        <v>0.70704999999999996</v>
      </c>
      <c r="O16">
        <v>0.64200000000000002</v>
      </c>
      <c r="P16">
        <v>2.7</v>
      </c>
      <c r="Q16">
        <v>-9.0983400000000006E-2</v>
      </c>
    </row>
    <row r="17" spans="1:17" x14ac:dyDescent="0.2">
      <c r="A17" s="156" t="s">
        <v>19</v>
      </c>
      <c r="B17" s="156" t="s">
        <v>58</v>
      </c>
      <c r="C17" s="156">
        <v>6392</v>
      </c>
      <c r="D17">
        <v>58817</v>
      </c>
      <c r="E17">
        <v>26365</v>
      </c>
      <c r="F17">
        <v>1825</v>
      </c>
      <c r="G17">
        <v>32870</v>
      </c>
      <c r="H17">
        <v>2.2308699999999999</v>
      </c>
      <c r="I17">
        <v>1.95</v>
      </c>
      <c r="J17">
        <v>1.0703400000000001</v>
      </c>
      <c r="K17">
        <v>2121.67</v>
      </c>
      <c r="L17">
        <v>7.4479199999999995E-2</v>
      </c>
      <c r="M17">
        <v>0.442</v>
      </c>
      <c r="N17">
        <v>0.70704999999999996</v>
      </c>
      <c r="O17">
        <v>0.68899999999999995</v>
      </c>
      <c r="P17">
        <v>2.7</v>
      </c>
      <c r="Q17">
        <v>0.21307899999999999</v>
      </c>
    </row>
    <row r="18" spans="1:17" x14ac:dyDescent="0.2">
      <c r="A18" s="156" t="s">
        <v>19</v>
      </c>
      <c r="B18" s="156" t="s">
        <v>78</v>
      </c>
      <c r="C18" s="156">
        <v>12443</v>
      </c>
      <c r="D18">
        <v>14620</v>
      </c>
      <c r="E18">
        <v>5721</v>
      </c>
      <c r="F18">
        <v>242</v>
      </c>
      <c r="G18">
        <v>7695</v>
      </c>
      <c r="H18">
        <v>2.5554999999999999</v>
      </c>
      <c r="I18">
        <v>1.95</v>
      </c>
      <c r="J18">
        <v>1.10914</v>
      </c>
      <c r="K18">
        <v>818.26300000000003</v>
      </c>
      <c r="L18">
        <v>0.12513099999999999</v>
      </c>
      <c r="M18">
        <v>0.442</v>
      </c>
      <c r="N18">
        <v>0.70704999999999996</v>
      </c>
      <c r="O18">
        <v>0.68899999999999995</v>
      </c>
      <c r="P18">
        <v>2.7</v>
      </c>
      <c r="Q18">
        <v>1.51176E-2</v>
      </c>
    </row>
    <row r="19" spans="1:17" x14ac:dyDescent="0.2">
      <c r="A19" s="156" t="s">
        <v>19</v>
      </c>
      <c r="B19" s="156" t="s">
        <v>866</v>
      </c>
      <c r="C19" s="156">
        <v>20235</v>
      </c>
      <c r="D19">
        <v>103</v>
      </c>
      <c r="E19">
        <v>29</v>
      </c>
      <c r="F19">
        <v>0</v>
      </c>
      <c r="G19">
        <v>32</v>
      </c>
      <c r="H19">
        <v>3.55172</v>
      </c>
      <c r="I19">
        <v>1.95</v>
      </c>
      <c r="J19">
        <v>1.10914</v>
      </c>
      <c r="K19">
        <v>5.76478</v>
      </c>
      <c r="L19">
        <v>0.165822</v>
      </c>
      <c r="M19">
        <v>0.442</v>
      </c>
      <c r="N19">
        <v>0.70704999999999996</v>
      </c>
      <c r="O19">
        <v>0.68899999999999995</v>
      </c>
      <c r="P19">
        <v>2.7</v>
      </c>
      <c r="Q19">
        <v>-0.21415300000000001</v>
      </c>
    </row>
    <row r="20" spans="1:17" x14ac:dyDescent="0.2">
      <c r="A20" s="156" t="s">
        <v>19</v>
      </c>
      <c r="B20" s="156" t="s">
        <v>920</v>
      </c>
      <c r="C20" s="156">
        <v>13154</v>
      </c>
      <c r="D20">
        <v>40</v>
      </c>
      <c r="E20">
        <v>25</v>
      </c>
      <c r="F20">
        <v>0</v>
      </c>
      <c r="G20">
        <v>29</v>
      </c>
      <c r="H20">
        <v>1.6</v>
      </c>
      <c r="I20">
        <v>1.95</v>
      </c>
      <c r="J20">
        <v>1.10914</v>
      </c>
      <c r="K20">
        <v>2.23875</v>
      </c>
      <c r="L20">
        <v>8.2189899999999996E-2</v>
      </c>
      <c r="M20">
        <v>0.442</v>
      </c>
      <c r="N20">
        <v>0.70704999999999996</v>
      </c>
      <c r="O20">
        <v>0.68899999999999995</v>
      </c>
      <c r="P20">
        <v>2.7</v>
      </c>
      <c r="Q20">
        <v>-0.24709800000000001</v>
      </c>
    </row>
    <row r="21" spans="1:17" x14ac:dyDescent="0.2">
      <c r="A21" s="156" t="s">
        <v>19</v>
      </c>
      <c r="B21" s="156" t="s">
        <v>748</v>
      </c>
      <c r="C21" s="156">
        <v>13343</v>
      </c>
      <c r="D21">
        <v>256134</v>
      </c>
      <c r="E21">
        <v>109431</v>
      </c>
      <c r="F21">
        <v>2387</v>
      </c>
      <c r="G21">
        <v>138032</v>
      </c>
      <c r="H21">
        <v>2.3405999999999998</v>
      </c>
      <c r="I21">
        <v>1.95</v>
      </c>
      <c r="J21">
        <v>1.08456</v>
      </c>
      <c r="K21">
        <v>11107.3</v>
      </c>
      <c r="L21">
        <v>9.2147300000000001E-2</v>
      </c>
      <c r="M21">
        <v>0.442</v>
      </c>
      <c r="N21">
        <v>0.70704999999999996</v>
      </c>
      <c r="O21">
        <v>0.68899999999999995</v>
      </c>
      <c r="P21">
        <v>2.7</v>
      </c>
      <c r="Q21">
        <v>-0.23013800000000001</v>
      </c>
    </row>
    <row r="22" spans="1:17" x14ac:dyDescent="0.2">
      <c r="A22" s="156" t="s">
        <v>19</v>
      </c>
      <c r="B22" s="156" t="s">
        <v>865</v>
      </c>
      <c r="C22" s="156">
        <v>11424</v>
      </c>
      <c r="D22">
        <v>105</v>
      </c>
      <c r="E22">
        <v>63</v>
      </c>
      <c r="F22">
        <v>0</v>
      </c>
      <c r="G22">
        <v>120</v>
      </c>
      <c r="H22">
        <v>1.6666700000000001</v>
      </c>
      <c r="I22">
        <v>1.95</v>
      </c>
      <c r="J22">
        <v>1.1582699999999999</v>
      </c>
      <c r="K22">
        <v>8.5224499999999992</v>
      </c>
      <c r="L22">
        <v>0.119158</v>
      </c>
      <c r="M22">
        <v>0.442</v>
      </c>
      <c r="N22">
        <v>0.70704999999999996</v>
      </c>
      <c r="O22">
        <v>0.68899999999999995</v>
      </c>
      <c r="P22">
        <v>2.7</v>
      </c>
      <c r="Q22">
        <v>0.18889300000000001</v>
      </c>
    </row>
    <row r="23" spans="1:17" x14ac:dyDescent="0.2">
      <c r="A23" s="156" t="s">
        <v>19</v>
      </c>
      <c r="B23" s="156" t="s">
        <v>170</v>
      </c>
      <c r="C23" s="156">
        <v>10963</v>
      </c>
      <c r="D23">
        <v>6888</v>
      </c>
      <c r="E23">
        <v>3883</v>
      </c>
      <c r="F23">
        <v>0</v>
      </c>
      <c r="G23">
        <v>8814</v>
      </c>
      <c r="H23">
        <v>1.77389</v>
      </c>
      <c r="I23">
        <v>1.95</v>
      </c>
      <c r="J23">
        <v>1.3169299999999999</v>
      </c>
      <c r="K23">
        <v>1119.51</v>
      </c>
      <c r="L23">
        <v>0.22378999999999999</v>
      </c>
      <c r="M23">
        <v>0.442</v>
      </c>
      <c r="N23">
        <v>0.70704999999999996</v>
      </c>
      <c r="O23">
        <v>0.68899999999999995</v>
      </c>
      <c r="P23">
        <v>2.7</v>
      </c>
      <c r="Q23">
        <v>0.17724999999999999</v>
      </c>
    </row>
    <row r="24" spans="1:17" x14ac:dyDescent="0.2">
      <c r="A24" s="156" t="s">
        <v>21</v>
      </c>
      <c r="B24" s="156" t="s">
        <v>62</v>
      </c>
      <c r="C24" s="156">
        <v>2981</v>
      </c>
      <c r="D24">
        <v>127693</v>
      </c>
      <c r="E24">
        <v>59440</v>
      </c>
      <c r="F24">
        <v>3896</v>
      </c>
      <c r="G24">
        <v>73762</v>
      </c>
      <c r="H24">
        <v>2.1482700000000001</v>
      </c>
      <c r="I24">
        <v>1.95</v>
      </c>
      <c r="J24">
        <v>1.0627200000000001</v>
      </c>
      <c r="K24">
        <v>4107.26</v>
      </c>
      <c r="L24">
        <v>6.4633200000000002E-2</v>
      </c>
      <c r="M24">
        <v>0.442</v>
      </c>
      <c r="N24">
        <v>0.70704999999999996</v>
      </c>
      <c r="O24">
        <v>0.68899999999999995</v>
      </c>
      <c r="P24">
        <v>2.7</v>
      </c>
      <c r="Q24">
        <v>0.16889599999999999</v>
      </c>
    </row>
    <row r="25" spans="1:17" x14ac:dyDescent="0.2">
      <c r="A25" s="156" t="s">
        <v>21</v>
      </c>
      <c r="B25" s="156" t="s">
        <v>67</v>
      </c>
      <c r="C25" s="156">
        <v>2980</v>
      </c>
      <c r="D25">
        <v>38853</v>
      </c>
      <c r="E25">
        <v>19230</v>
      </c>
      <c r="F25">
        <v>406</v>
      </c>
      <c r="G25">
        <v>22938</v>
      </c>
      <c r="H25">
        <v>2.0204399999999998</v>
      </c>
      <c r="I25">
        <v>1.95</v>
      </c>
      <c r="J25">
        <v>1.11483</v>
      </c>
      <c r="K25">
        <v>2288</v>
      </c>
      <c r="L25">
        <v>0.10632999999999999</v>
      </c>
      <c r="M25">
        <v>0.442</v>
      </c>
      <c r="N25">
        <v>0.70704999999999996</v>
      </c>
      <c r="O25">
        <v>0.68899999999999995</v>
      </c>
      <c r="P25">
        <v>2.7</v>
      </c>
      <c r="Q25">
        <v>-0.21279000000000001</v>
      </c>
    </row>
    <row r="26" spans="1:17" x14ac:dyDescent="0.2">
      <c r="A26" s="156" t="s">
        <v>21</v>
      </c>
      <c r="B26" s="156" t="s">
        <v>30</v>
      </c>
      <c r="C26" s="156">
        <v>10795</v>
      </c>
      <c r="D26">
        <v>14045</v>
      </c>
      <c r="E26">
        <v>7110</v>
      </c>
      <c r="F26">
        <v>152</v>
      </c>
      <c r="G26">
        <v>8688</v>
      </c>
      <c r="H26">
        <v>1.97539</v>
      </c>
      <c r="I26">
        <v>1.95</v>
      </c>
      <c r="J26">
        <v>1.17384</v>
      </c>
      <c r="K26">
        <v>1252.1199999999999</v>
      </c>
      <c r="L26">
        <v>0.14973700000000001</v>
      </c>
      <c r="M26">
        <v>0.442</v>
      </c>
      <c r="N26">
        <v>0.70704999999999996</v>
      </c>
      <c r="O26">
        <v>0.68899999999999995</v>
      </c>
      <c r="P26">
        <v>2.7</v>
      </c>
      <c r="Q26">
        <v>-0.39489999999999997</v>
      </c>
    </row>
    <row r="27" spans="1:17" x14ac:dyDescent="0.2">
      <c r="A27" s="156" t="s">
        <v>21</v>
      </c>
      <c r="B27" s="156" t="s">
        <v>31</v>
      </c>
      <c r="C27" s="156">
        <v>11218</v>
      </c>
      <c r="D27">
        <v>18176</v>
      </c>
      <c r="E27">
        <v>7288</v>
      </c>
      <c r="F27">
        <v>115</v>
      </c>
      <c r="G27">
        <v>8145</v>
      </c>
      <c r="H27">
        <v>2.49396</v>
      </c>
      <c r="I27">
        <v>1.95</v>
      </c>
      <c r="J27">
        <v>1.0624199999999999</v>
      </c>
      <c r="K27">
        <v>581.77200000000005</v>
      </c>
      <c r="L27">
        <v>7.3924900000000002E-2</v>
      </c>
      <c r="M27">
        <v>0.442</v>
      </c>
      <c r="N27">
        <v>0.70704999999999996</v>
      </c>
      <c r="O27">
        <v>0.68899999999999995</v>
      </c>
      <c r="P27">
        <v>2.7</v>
      </c>
      <c r="Q27">
        <v>0.56075900000000001</v>
      </c>
    </row>
    <row r="28" spans="1:17" x14ac:dyDescent="0.2">
      <c r="A28" s="156" t="s">
        <v>21</v>
      </c>
      <c r="B28" s="156" t="s">
        <v>32</v>
      </c>
      <c r="C28" s="156">
        <v>12351</v>
      </c>
      <c r="D28">
        <v>54476</v>
      </c>
      <c r="E28">
        <v>23754</v>
      </c>
      <c r="F28">
        <v>1282</v>
      </c>
      <c r="G28">
        <v>26961</v>
      </c>
      <c r="H28">
        <v>2.2933400000000002</v>
      </c>
      <c r="I28">
        <v>1.95</v>
      </c>
      <c r="J28">
        <v>1.0505100000000001</v>
      </c>
      <c r="K28">
        <v>1411.1</v>
      </c>
      <c r="L28">
        <v>5.6073499999999998E-2</v>
      </c>
      <c r="M28">
        <v>0.442</v>
      </c>
      <c r="N28">
        <v>0.70704999999999996</v>
      </c>
      <c r="O28">
        <v>0.68899999999999995</v>
      </c>
      <c r="P28">
        <v>2.7</v>
      </c>
      <c r="Q28">
        <v>0.61807800000000002</v>
      </c>
    </row>
    <row r="29" spans="1:17" x14ac:dyDescent="0.2">
      <c r="A29" s="156" t="s">
        <v>21</v>
      </c>
      <c r="B29" s="156" t="s">
        <v>82</v>
      </c>
      <c r="C29" s="156">
        <v>11245</v>
      </c>
      <c r="D29">
        <v>15474</v>
      </c>
      <c r="E29">
        <v>6630</v>
      </c>
      <c r="F29">
        <v>52</v>
      </c>
      <c r="G29">
        <v>7227</v>
      </c>
      <c r="H29">
        <v>2.3339400000000001</v>
      </c>
      <c r="I29">
        <v>1.95</v>
      </c>
      <c r="J29">
        <v>1.07606</v>
      </c>
      <c r="K29">
        <v>603.57299999999998</v>
      </c>
      <c r="L29">
        <v>8.3440500000000001E-2</v>
      </c>
      <c r="M29">
        <v>0.442</v>
      </c>
      <c r="N29">
        <v>0.70704999999999996</v>
      </c>
      <c r="O29">
        <v>0.68899999999999995</v>
      </c>
      <c r="P29">
        <v>2.7</v>
      </c>
      <c r="Q29">
        <v>-0.41530800000000001</v>
      </c>
    </row>
    <row r="30" spans="1:17" x14ac:dyDescent="0.2">
      <c r="A30" s="156" t="s">
        <v>21</v>
      </c>
      <c r="B30" s="156" t="s">
        <v>9</v>
      </c>
      <c r="C30" s="156">
        <v>20143</v>
      </c>
      <c r="D30">
        <v>277696</v>
      </c>
      <c r="E30">
        <v>128449</v>
      </c>
      <c r="F30">
        <v>7823</v>
      </c>
      <c r="G30">
        <v>154039</v>
      </c>
      <c r="H30">
        <v>2.1619199999999998</v>
      </c>
      <c r="I30">
        <v>1.95</v>
      </c>
      <c r="J30">
        <v>1.06664</v>
      </c>
      <c r="K30">
        <v>9490.65</v>
      </c>
      <c r="L30">
        <v>6.88029E-2</v>
      </c>
      <c r="M30">
        <v>0.442</v>
      </c>
      <c r="N30">
        <v>0.70704999999999996</v>
      </c>
      <c r="O30">
        <v>0.68899999999999995</v>
      </c>
      <c r="P30">
        <v>2.7</v>
      </c>
      <c r="Q30">
        <v>5.3931800000000002E-2</v>
      </c>
    </row>
    <row r="31" spans="1:17" x14ac:dyDescent="0.2">
      <c r="A31" s="156" t="s">
        <v>21</v>
      </c>
      <c r="B31" s="156" t="s">
        <v>87</v>
      </c>
      <c r="C31" s="156">
        <v>742</v>
      </c>
      <c r="D31">
        <v>27683</v>
      </c>
      <c r="E31">
        <v>12279</v>
      </c>
      <c r="F31">
        <v>462</v>
      </c>
      <c r="G31">
        <v>14943</v>
      </c>
      <c r="H31">
        <v>2.2545000000000002</v>
      </c>
      <c r="I31">
        <v>1.95</v>
      </c>
      <c r="J31">
        <v>1.0103</v>
      </c>
      <c r="K31">
        <v>146.209</v>
      </c>
      <c r="L31">
        <v>1.1767100000000001E-2</v>
      </c>
      <c r="M31">
        <v>0.442</v>
      </c>
      <c r="N31">
        <v>0.70704999999999996</v>
      </c>
      <c r="O31">
        <v>0.68899999999999995</v>
      </c>
      <c r="P31">
        <v>2.7</v>
      </c>
      <c r="Q31">
        <v>-1.42939E-3</v>
      </c>
    </row>
    <row r="32" spans="1:17" x14ac:dyDescent="0.2">
      <c r="A32" s="156" t="s">
        <v>21</v>
      </c>
      <c r="B32" s="156" t="s">
        <v>138</v>
      </c>
      <c r="C32" s="156">
        <v>20142</v>
      </c>
      <c r="D32">
        <v>363596</v>
      </c>
      <c r="E32">
        <v>170463</v>
      </c>
      <c r="F32">
        <v>6505</v>
      </c>
      <c r="G32">
        <v>209148</v>
      </c>
      <c r="H32">
        <v>2.1329899999999999</v>
      </c>
      <c r="I32">
        <v>1.95</v>
      </c>
      <c r="J32">
        <v>1.07365</v>
      </c>
      <c r="K32">
        <v>13732.6</v>
      </c>
      <c r="L32">
        <v>7.4554200000000001E-2</v>
      </c>
      <c r="M32">
        <v>0.442</v>
      </c>
      <c r="N32">
        <v>0.70704999999999996</v>
      </c>
      <c r="O32">
        <v>0.68899999999999995</v>
      </c>
      <c r="P32">
        <v>2.7</v>
      </c>
      <c r="Q32">
        <v>-8.7380899999999997E-2</v>
      </c>
    </row>
    <row r="33" spans="1:17" x14ac:dyDescent="0.2">
      <c r="A33" s="156" t="s">
        <v>21</v>
      </c>
      <c r="B33" s="156" t="s">
        <v>878</v>
      </c>
      <c r="C33" s="156">
        <v>9423</v>
      </c>
      <c r="D33">
        <v>509</v>
      </c>
      <c r="E33">
        <v>147</v>
      </c>
      <c r="F33">
        <v>0</v>
      </c>
      <c r="G33">
        <v>175</v>
      </c>
      <c r="H33">
        <v>3.46258</v>
      </c>
      <c r="I33">
        <v>1.95</v>
      </c>
      <c r="J33">
        <v>1.0744</v>
      </c>
      <c r="K33">
        <v>19.419799999999999</v>
      </c>
      <c r="L33">
        <v>0.116692</v>
      </c>
      <c r="M33">
        <v>0.442</v>
      </c>
      <c r="N33">
        <v>0.70704999999999996</v>
      </c>
      <c r="O33">
        <v>0.68899999999999995</v>
      </c>
      <c r="P33">
        <v>2.7</v>
      </c>
      <c r="Q33">
        <v>0.83280399999999999</v>
      </c>
    </row>
    <row r="34" spans="1:17" x14ac:dyDescent="0.2">
      <c r="A34" s="156" t="s">
        <v>21</v>
      </c>
      <c r="B34" s="156" t="s">
        <v>165</v>
      </c>
      <c r="C34" s="156">
        <v>7692</v>
      </c>
      <c r="D34">
        <v>5958</v>
      </c>
      <c r="E34">
        <v>2774</v>
      </c>
      <c r="F34">
        <v>277</v>
      </c>
      <c r="G34">
        <v>3360</v>
      </c>
      <c r="H34">
        <v>2.1478000000000002</v>
      </c>
      <c r="I34">
        <v>1.95</v>
      </c>
      <c r="J34">
        <v>1.0586800000000001</v>
      </c>
      <c r="K34">
        <v>179.29</v>
      </c>
      <c r="L34">
        <v>6.0708600000000001E-2</v>
      </c>
      <c r="M34">
        <v>0.442</v>
      </c>
      <c r="N34">
        <v>0.70704999999999996</v>
      </c>
      <c r="O34">
        <v>0.68899999999999995</v>
      </c>
      <c r="P34">
        <v>2.7</v>
      </c>
      <c r="Q34">
        <v>4.7701599999999997E-2</v>
      </c>
    </row>
    <row r="35" spans="1:17" x14ac:dyDescent="0.2">
      <c r="A35" s="156" t="s">
        <v>21</v>
      </c>
      <c r="B35" s="156" t="s">
        <v>482</v>
      </c>
      <c r="C35" s="156">
        <v>10350</v>
      </c>
      <c r="D35">
        <v>733</v>
      </c>
      <c r="E35">
        <v>440</v>
      </c>
      <c r="F35">
        <v>0</v>
      </c>
      <c r="G35">
        <v>583</v>
      </c>
      <c r="H35">
        <v>1.66591</v>
      </c>
      <c r="I35">
        <v>1.95</v>
      </c>
      <c r="J35">
        <v>1.0896699999999999</v>
      </c>
      <c r="K35">
        <v>33.705599999999997</v>
      </c>
      <c r="L35">
        <v>7.1153099999999997E-2</v>
      </c>
      <c r="M35">
        <v>0.442</v>
      </c>
      <c r="N35">
        <v>0.70704999999999996</v>
      </c>
      <c r="O35">
        <v>0.68899999999999995</v>
      </c>
      <c r="P35">
        <v>2.7</v>
      </c>
      <c r="Q35">
        <v>-0.37002800000000002</v>
      </c>
    </row>
    <row r="36" spans="1:17" x14ac:dyDescent="0.2">
      <c r="A36" s="156" t="s">
        <v>33</v>
      </c>
      <c r="B36" s="156" t="s">
        <v>43</v>
      </c>
      <c r="C36" s="156">
        <v>5807</v>
      </c>
      <c r="D36">
        <v>1757</v>
      </c>
      <c r="E36">
        <v>913</v>
      </c>
      <c r="F36">
        <v>0</v>
      </c>
      <c r="G36">
        <v>1243</v>
      </c>
      <c r="H36">
        <v>1.9244300000000001</v>
      </c>
      <c r="I36">
        <v>1.95</v>
      </c>
      <c r="J36">
        <v>1.07361</v>
      </c>
      <c r="K36">
        <v>66.320899999999995</v>
      </c>
      <c r="L36">
        <v>6.7721299999999998E-2</v>
      </c>
      <c r="M36">
        <v>0.442</v>
      </c>
      <c r="N36">
        <v>0.70704999999999996</v>
      </c>
      <c r="O36">
        <v>0.67700000000000005</v>
      </c>
      <c r="P36">
        <v>2.7</v>
      </c>
      <c r="Q36">
        <v>-0.18449399999999999</v>
      </c>
    </row>
    <row r="37" spans="1:17" x14ac:dyDescent="0.2">
      <c r="A37" s="156" t="s">
        <v>33</v>
      </c>
      <c r="B37" s="156" t="s">
        <v>77</v>
      </c>
      <c r="C37" s="156">
        <v>2923</v>
      </c>
      <c r="D37">
        <v>65330</v>
      </c>
      <c r="E37">
        <v>26832</v>
      </c>
      <c r="F37">
        <v>119</v>
      </c>
      <c r="G37">
        <v>34235</v>
      </c>
      <c r="H37">
        <v>2.4347799999999999</v>
      </c>
      <c r="I37">
        <v>1.95</v>
      </c>
      <c r="J37">
        <v>1.0814999999999999</v>
      </c>
      <c r="K37">
        <v>2730.56</v>
      </c>
      <c r="L37">
        <v>9.2365500000000003E-2</v>
      </c>
      <c r="M37">
        <v>0.442</v>
      </c>
      <c r="N37">
        <v>0.70704999999999996</v>
      </c>
      <c r="O37">
        <v>0.67700000000000005</v>
      </c>
      <c r="P37">
        <v>2.7</v>
      </c>
      <c r="Q37">
        <v>-0.35104099999999999</v>
      </c>
    </row>
    <row r="38" spans="1:17" x14ac:dyDescent="0.2">
      <c r="A38" s="156" t="s">
        <v>33</v>
      </c>
      <c r="B38" s="156" t="s">
        <v>84</v>
      </c>
      <c r="C38" s="156">
        <v>4318</v>
      </c>
      <c r="D38">
        <v>50847</v>
      </c>
      <c r="E38">
        <v>24413</v>
      </c>
      <c r="F38">
        <v>3788</v>
      </c>
      <c r="G38">
        <v>30642</v>
      </c>
      <c r="H38">
        <v>2.0827800000000001</v>
      </c>
      <c r="I38">
        <v>1.95</v>
      </c>
      <c r="J38">
        <v>1.0527299999999999</v>
      </c>
      <c r="K38">
        <v>1374.82</v>
      </c>
      <c r="L38">
        <v>5.3312900000000003E-2</v>
      </c>
      <c r="M38">
        <v>0.442</v>
      </c>
      <c r="N38">
        <v>0.70704999999999996</v>
      </c>
      <c r="O38">
        <v>0.67700000000000005</v>
      </c>
      <c r="P38">
        <v>2.7</v>
      </c>
      <c r="Q38">
        <v>0.89852200000000004</v>
      </c>
    </row>
    <row r="39" spans="1:17" x14ac:dyDescent="0.2">
      <c r="A39" s="156" t="s">
        <v>33</v>
      </c>
      <c r="B39" s="156" t="s">
        <v>89</v>
      </c>
      <c r="C39" s="156">
        <v>5393</v>
      </c>
      <c r="D39">
        <v>22457</v>
      </c>
      <c r="E39">
        <v>12697</v>
      </c>
      <c r="F39">
        <v>581</v>
      </c>
      <c r="G39">
        <v>18831</v>
      </c>
      <c r="H39">
        <v>1.7686900000000001</v>
      </c>
      <c r="I39">
        <v>1.95</v>
      </c>
      <c r="J39">
        <v>1.2172099999999999</v>
      </c>
      <c r="K39">
        <v>2501.48</v>
      </c>
      <c r="L39">
        <v>0.16458700000000001</v>
      </c>
      <c r="M39">
        <v>0.442</v>
      </c>
      <c r="N39">
        <v>0.70704999999999996</v>
      </c>
      <c r="O39">
        <v>0.67700000000000005</v>
      </c>
      <c r="P39">
        <v>2.7</v>
      </c>
      <c r="Q39">
        <v>0.44437700000000002</v>
      </c>
    </row>
    <row r="40" spans="1:17" x14ac:dyDescent="0.2">
      <c r="A40" s="156" t="s">
        <v>33</v>
      </c>
      <c r="B40" s="156" t="s">
        <v>4</v>
      </c>
      <c r="C40" s="156">
        <v>4866</v>
      </c>
      <c r="D40">
        <v>25912</v>
      </c>
      <c r="E40">
        <v>13594</v>
      </c>
      <c r="F40">
        <v>118</v>
      </c>
      <c r="G40">
        <v>20034</v>
      </c>
      <c r="H40">
        <v>1.9061399999999999</v>
      </c>
      <c r="I40">
        <v>1.95</v>
      </c>
      <c r="J40">
        <v>1.2103699999999999</v>
      </c>
      <c r="K40">
        <v>2795.41</v>
      </c>
      <c r="L40">
        <v>0.17056199999999999</v>
      </c>
      <c r="M40">
        <v>0.442</v>
      </c>
      <c r="N40">
        <v>0.70704999999999996</v>
      </c>
      <c r="O40">
        <v>0.67700000000000005</v>
      </c>
      <c r="P40">
        <v>2.7</v>
      </c>
      <c r="Q40">
        <v>-7.52911E-2</v>
      </c>
    </row>
    <row r="41" spans="1:17" x14ac:dyDescent="0.2">
      <c r="A41" s="156" t="s">
        <v>33</v>
      </c>
      <c r="B41" s="156" t="s">
        <v>118</v>
      </c>
      <c r="C41" s="156">
        <v>5456</v>
      </c>
      <c r="D41">
        <v>219</v>
      </c>
      <c r="E41">
        <v>140</v>
      </c>
      <c r="F41">
        <v>0</v>
      </c>
      <c r="G41">
        <v>208</v>
      </c>
      <c r="H41">
        <v>1.56429</v>
      </c>
      <c r="I41">
        <v>1.95</v>
      </c>
      <c r="J41">
        <v>1.2101900000000001</v>
      </c>
      <c r="K41">
        <v>23.606200000000001</v>
      </c>
      <c r="L41">
        <v>0.144287</v>
      </c>
      <c r="M41">
        <v>0.442</v>
      </c>
      <c r="N41">
        <v>0.70704999999999996</v>
      </c>
      <c r="O41">
        <v>0.67700000000000005</v>
      </c>
      <c r="P41">
        <v>2.7</v>
      </c>
      <c r="Q41">
        <v>0.42163800000000001</v>
      </c>
    </row>
    <row r="42" spans="1:17" x14ac:dyDescent="0.2">
      <c r="A42" s="156" t="s">
        <v>33</v>
      </c>
      <c r="B42" s="156" t="s">
        <v>141</v>
      </c>
      <c r="C42" s="156">
        <v>99914</v>
      </c>
      <c r="D42">
        <v>12853</v>
      </c>
      <c r="E42">
        <v>6163</v>
      </c>
      <c r="F42">
        <v>8</v>
      </c>
      <c r="G42">
        <v>7200</v>
      </c>
      <c r="H42">
        <v>2.0855100000000002</v>
      </c>
      <c r="I42">
        <v>1.95</v>
      </c>
      <c r="J42">
        <v>1.0457399999999999</v>
      </c>
      <c r="K42">
        <v>301.47199999999998</v>
      </c>
      <c r="L42">
        <v>4.6635200000000002E-2</v>
      </c>
      <c r="M42">
        <v>0.442</v>
      </c>
      <c r="N42">
        <v>0.70704999999999996</v>
      </c>
      <c r="O42">
        <v>0.67700000000000005</v>
      </c>
      <c r="P42">
        <v>2.7</v>
      </c>
      <c r="Q42">
        <v>-0.11930200000000001</v>
      </c>
    </row>
    <row r="43" spans="1:17" x14ac:dyDescent="0.2">
      <c r="A43" s="156" t="s">
        <v>33</v>
      </c>
      <c r="B43" s="156" t="s">
        <v>146</v>
      </c>
      <c r="C43" s="156">
        <v>7448</v>
      </c>
      <c r="D43">
        <v>869</v>
      </c>
      <c r="E43">
        <v>454</v>
      </c>
      <c r="F43">
        <v>0</v>
      </c>
      <c r="G43">
        <v>1374</v>
      </c>
      <c r="H43">
        <v>1.9140999999999999</v>
      </c>
      <c r="I43">
        <v>1.95</v>
      </c>
      <c r="J43">
        <v>1.0598000000000001</v>
      </c>
      <c r="K43">
        <v>26.6511</v>
      </c>
      <c r="L43">
        <v>5.5447999999999997E-2</v>
      </c>
      <c r="M43">
        <v>0.442</v>
      </c>
      <c r="N43">
        <v>0.70704999999999996</v>
      </c>
      <c r="O43">
        <v>0.67700000000000005</v>
      </c>
      <c r="P43">
        <v>2.7</v>
      </c>
      <c r="Q43">
        <v>0.48255599999999998</v>
      </c>
    </row>
    <row r="44" spans="1:17" x14ac:dyDescent="0.2">
      <c r="A44" s="156" t="s">
        <v>33</v>
      </c>
      <c r="B44" s="156" t="s">
        <v>149</v>
      </c>
      <c r="C44" s="156">
        <v>8836</v>
      </c>
      <c r="D44">
        <v>200107</v>
      </c>
      <c r="E44">
        <v>95293</v>
      </c>
      <c r="F44">
        <v>1437</v>
      </c>
      <c r="G44">
        <v>121757</v>
      </c>
      <c r="H44">
        <v>2.0999099999999999</v>
      </c>
      <c r="I44">
        <v>1.95</v>
      </c>
      <c r="J44">
        <v>1.0841700000000001</v>
      </c>
      <c r="K44">
        <v>8636.93</v>
      </c>
      <c r="L44">
        <v>8.3103399999999994E-2</v>
      </c>
      <c r="M44">
        <v>0.442</v>
      </c>
      <c r="N44">
        <v>0.70704999999999996</v>
      </c>
      <c r="O44">
        <v>0.67700000000000005</v>
      </c>
      <c r="P44">
        <v>2.7</v>
      </c>
      <c r="Q44">
        <v>-7.8014E-2</v>
      </c>
    </row>
    <row r="45" spans="1:17" x14ac:dyDescent="0.2">
      <c r="A45" s="156" t="s">
        <v>24</v>
      </c>
      <c r="B45" s="156" t="s">
        <v>52</v>
      </c>
      <c r="C45" s="156">
        <v>729</v>
      </c>
      <c r="D45">
        <v>1577</v>
      </c>
      <c r="E45">
        <v>781</v>
      </c>
      <c r="F45">
        <v>0</v>
      </c>
      <c r="G45">
        <v>1028</v>
      </c>
      <c r="H45">
        <v>2.0192100000000002</v>
      </c>
      <c r="I45">
        <v>1.95</v>
      </c>
      <c r="J45">
        <v>1.10314</v>
      </c>
      <c r="K45">
        <v>83.411199999999994</v>
      </c>
      <c r="L45">
        <v>9.6494800000000006E-2</v>
      </c>
      <c r="M45">
        <v>0.56699999999999995</v>
      </c>
      <c r="N45">
        <v>0.772675</v>
      </c>
      <c r="O45">
        <v>0.622</v>
      </c>
      <c r="P45">
        <v>2.2999999999999998</v>
      </c>
      <c r="Q45">
        <v>-0.47904200000000002</v>
      </c>
    </row>
    <row r="46" spans="1:17" x14ac:dyDescent="0.2">
      <c r="A46" s="156" t="s">
        <v>24</v>
      </c>
      <c r="B46" s="156" t="s">
        <v>52</v>
      </c>
      <c r="C46" s="156">
        <v>2842</v>
      </c>
      <c r="D46">
        <v>17689</v>
      </c>
      <c r="E46">
        <v>7293</v>
      </c>
      <c r="F46">
        <v>44</v>
      </c>
      <c r="G46">
        <v>8333</v>
      </c>
      <c r="H46">
        <v>2.4254799999999999</v>
      </c>
      <c r="I46">
        <v>1.95</v>
      </c>
      <c r="J46">
        <v>1.056</v>
      </c>
      <c r="K46">
        <v>507.95600000000002</v>
      </c>
      <c r="L46">
        <v>6.5114500000000006E-2</v>
      </c>
      <c r="M46">
        <v>0.56699999999999995</v>
      </c>
      <c r="N46">
        <v>0.772675</v>
      </c>
      <c r="O46">
        <v>0.622</v>
      </c>
      <c r="P46">
        <v>2.2999999999999998</v>
      </c>
      <c r="Q46">
        <v>-0.37138599999999999</v>
      </c>
    </row>
    <row r="47" spans="1:17" x14ac:dyDescent="0.2">
      <c r="A47" s="156" t="s">
        <v>24</v>
      </c>
      <c r="B47" s="156" t="s">
        <v>52</v>
      </c>
      <c r="C47" s="156">
        <v>7121</v>
      </c>
      <c r="D47">
        <v>26524</v>
      </c>
      <c r="E47">
        <v>12414</v>
      </c>
      <c r="F47">
        <v>1152</v>
      </c>
      <c r="G47">
        <v>15021</v>
      </c>
      <c r="H47">
        <v>2.1366200000000002</v>
      </c>
      <c r="I47">
        <v>1.95</v>
      </c>
      <c r="J47">
        <v>1.08111</v>
      </c>
      <c r="K47">
        <v>1103.21</v>
      </c>
      <c r="L47">
        <v>8.1615099999999996E-2</v>
      </c>
      <c r="M47">
        <v>0.56699999999999995</v>
      </c>
      <c r="N47">
        <v>0.772675</v>
      </c>
      <c r="O47">
        <v>0.622</v>
      </c>
      <c r="P47">
        <v>2.2999999999999998</v>
      </c>
      <c r="Q47">
        <v>0.17067599999999999</v>
      </c>
    </row>
    <row r="48" spans="1:17" x14ac:dyDescent="0.2">
      <c r="A48" s="156" t="s">
        <v>24</v>
      </c>
      <c r="B48" s="156" t="s">
        <v>52</v>
      </c>
      <c r="C48" s="156">
        <v>7295</v>
      </c>
      <c r="D48">
        <v>283</v>
      </c>
      <c r="E48">
        <v>135</v>
      </c>
      <c r="F48">
        <v>0</v>
      </c>
      <c r="G48">
        <v>177</v>
      </c>
      <c r="H48">
        <v>2.0962999999999998</v>
      </c>
      <c r="I48">
        <v>1.95</v>
      </c>
      <c r="J48">
        <v>1.0800099999999999</v>
      </c>
      <c r="K48">
        <v>11.6119</v>
      </c>
      <c r="L48">
        <v>7.9201300000000002E-2</v>
      </c>
      <c r="M48">
        <v>0.56699999999999995</v>
      </c>
      <c r="N48">
        <v>0.772675</v>
      </c>
      <c r="O48">
        <v>0.622</v>
      </c>
      <c r="P48">
        <v>2.2999999999999998</v>
      </c>
      <c r="Q48">
        <v>1.10524</v>
      </c>
    </row>
    <row r="49" spans="1:17" x14ac:dyDescent="0.2">
      <c r="A49" s="156" t="s">
        <v>24</v>
      </c>
      <c r="B49" s="156" t="s">
        <v>52</v>
      </c>
      <c r="C49" s="156">
        <v>7784</v>
      </c>
      <c r="D49">
        <v>334</v>
      </c>
      <c r="E49">
        <v>134</v>
      </c>
      <c r="F49">
        <v>0</v>
      </c>
      <c r="G49">
        <v>149</v>
      </c>
      <c r="H49">
        <v>2.49254</v>
      </c>
      <c r="I49">
        <v>1.95</v>
      </c>
      <c r="J49">
        <v>1.10314</v>
      </c>
      <c r="K49">
        <v>17.666</v>
      </c>
      <c r="L49">
        <v>0.11648</v>
      </c>
      <c r="M49">
        <v>0.56699999999999995</v>
      </c>
      <c r="N49">
        <v>0.772675</v>
      </c>
      <c r="O49">
        <v>0.622</v>
      </c>
      <c r="P49">
        <v>2.2999999999999998</v>
      </c>
      <c r="Q49">
        <v>0.12343800000000001</v>
      </c>
    </row>
    <row r="50" spans="1:17" x14ac:dyDescent="0.2">
      <c r="A50" s="156" t="s">
        <v>24</v>
      </c>
      <c r="B50" s="156" t="s">
        <v>52</v>
      </c>
      <c r="C50" s="156">
        <v>7879</v>
      </c>
      <c r="D50">
        <v>671</v>
      </c>
      <c r="E50">
        <v>273</v>
      </c>
      <c r="F50">
        <v>0</v>
      </c>
      <c r="G50">
        <v>303</v>
      </c>
      <c r="H50">
        <v>2.4578799999999998</v>
      </c>
      <c r="I50">
        <v>1.95</v>
      </c>
      <c r="J50">
        <v>1.1883600000000001</v>
      </c>
      <c r="K50">
        <v>64.816900000000004</v>
      </c>
      <c r="L50">
        <v>0.19187000000000001</v>
      </c>
      <c r="M50">
        <v>0.56699999999999995</v>
      </c>
      <c r="N50">
        <v>0.772675</v>
      </c>
      <c r="O50">
        <v>0.622</v>
      </c>
      <c r="P50">
        <v>2.2999999999999998</v>
      </c>
      <c r="Q50">
        <v>-0.70616400000000001</v>
      </c>
    </row>
    <row r="51" spans="1:17" ht="13.9" x14ac:dyDescent="0.25">
      <c r="A51" s="156" t="s">
        <v>24</v>
      </c>
      <c r="B51" s="156" t="s">
        <v>52</v>
      </c>
      <c r="C51" s="156">
        <v>9791</v>
      </c>
      <c r="D51">
        <v>10194</v>
      </c>
      <c r="E51">
        <v>4899</v>
      </c>
      <c r="F51">
        <v>0</v>
      </c>
      <c r="G51">
        <v>5946</v>
      </c>
      <c r="H51">
        <v>2.0808300000000002</v>
      </c>
      <c r="I51">
        <v>1.95</v>
      </c>
      <c r="J51">
        <v>1.08243</v>
      </c>
      <c r="K51">
        <v>430.90800000000002</v>
      </c>
      <c r="L51">
        <v>8.0847199999999994E-2</v>
      </c>
      <c r="M51">
        <v>0.56699999999999995</v>
      </c>
      <c r="N51">
        <v>0.772675</v>
      </c>
      <c r="O51">
        <v>0.622</v>
      </c>
      <c r="P51">
        <v>2.2999999999999998</v>
      </c>
      <c r="Q51">
        <v>-0.245061</v>
      </c>
    </row>
    <row r="52" spans="1:17" ht="13.9" x14ac:dyDescent="0.25">
      <c r="A52" s="156" t="s">
        <v>24</v>
      </c>
      <c r="B52" s="156" t="s">
        <v>64</v>
      </c>
      <c r="C52" s="156">
        <v>207</v>
      </c>
      <c r="D52">
        <v>4386</v>
      </c>
      <c r="E52">
        <v>2106</v>
      </c>
      <c r="F52">
        <v>219</v>
      </c>
      <c r="G52">
        <v>2922</v>
      </c>
      <c r="H52">
        <v>2.0826199999999999</v>
      </c>
      <c r="I52">
        <v>1.95</v>
      </c>
      <c r="J52">
        <v>1.08955</v>
      </c>
      <c r="K52">
        <v>201.42500000000001</v>
      </c>
      <c r="L52">
        <v>8.7294399999999994E-2</v>
      </c>
      <c r="M52">
        <v>0.56699999999999995</v>
      </c>
      <c r="N52">
        <v>0.772675</v>
      </c>
      <c r="O52">
        <v>0.622</v>
      </c>
      <c r="P52">
        <v>2.2999999999999998</v>
      </c>
      <c r="Q52">
        <v>0.51644500000000004</v>
      </c>
    </row>
    <row r="53" spans="1:17" ht="13.9" x14ac:dyDescent="0.25">
      <c r="A53" s="156" t="s">
        <v>24</v>
      </c>
      <c r="B53" s="156" t="s">
        <v>25</v>
      </c>
      <c r="C53" s="156">
        <v>419</v>
      </c>
      <c r="D53">
        <v>24128</v>
      </c>
      <c r="E53">
        <v>11119</v>
      </c>
      <c r="F53">
        <v>564</v>
      </c>
      <c r="G53">
        <v>13382</v>
      </c>
      <c r="H53">
        <v>2.1699799999999998</v>
      </c>
      <c r="I53">
        <v>1.95</v>
      </c>
      <c r="J53">
        <v>1.0860399999999999</v>
      </c>
      <c r="K53">
        <v>1064.5999999999999</v>
      </c>
      <c r="L53">
        <v>8.7379899999999996E-2</v>
      </c>
      <c r="M53">
        <v>0.56699999999999995</v>
      </c>
      <c r="N53">
        <v>0.772675</v>
      </c>
      <c r="O53">
        <v>0.622</v>
      </c>
      <c r="P53">
        <v>2.2999999999999998</v>
      </c>
      <c r="Q53">
        <v>7.2375200000000001E-2</v>
      </c>
    </row>
    <row r="54" spans="1:17" ht="13.9" x14ac:dyDescent="0.25">
      <c r="A54" s="156" t="s">
        <v>24</v>
      </c>
      <c r="B54" s="156" t="s">
        <v>96</v>
      </c>
      <c r="C54" s="156">
        <v>4753</v>
      </c>
      <c r="D54">
        <v>1166</v>
      </c>
      <c r="E54">
        <v>497</v>
      </c>
      <c r="F54">
        <v>5</v>
      </c>
      <c r="G54">
        <v>555</v>
      </c>
      <c r="H54">
        <v>2.3460800000000002</v>
      </c>
      <c r="I54">
        <v>1.95</v>
      </c>
      <c r="J54">
        <v>1.11374</v>
      </c>
      <c r="K54">
        <v>68.011300000000006</v>
      </c>
      <c r="L54">
        <v>0.12037200000000001</v>
      </c>
      <c r="M54">
        <v>0.56699999999999995</v>
      </c>
      <c r="N54">
        <v>0.772675</v>
      </c>
      <c r="O54">
        <v>0.622</v>
      </c>
      <c r="P54">
        <v>2.2999999999999998</v>
      </c>
      <c r="Q54">
        <v>-0.32434499999999999</v>
      </c>
    </row>
    <row r="55" spans="1:17" ht="13.9" x14ac:dyDescent="0.25">
      <c r="A55" s="156" t="s">
        <v>24</v>
      </c>
      <c r="B55" s="156" t="s">
        <v>104</v>
      </c>
      <c r="C55" s="156">
        <v>1118</v>
      </c>
      <c r="D55">
        <v>7567</v>
      </c>
      <c r="E55">
        <v>3481</v>
      </c>
      <c r="F55">
        <v>115</v>
      </c>
      <c r="G55">
        <v>4493</v>
      </c>
      <c r="H55">
        <v>2.1738</v>
      </c>
      <c r="I55">
        <v>1.95</v>
      </c>
      <c r="J55">
        <v>1.1883600000000001</v>
      </c>
      <c r="K55">
        <v>730.95299999999997</v>
      </c>
      <c r="L55">
        <v>0.173542</v>
      </c>
      <c r="M55">
        <v>0.56699999999999995</v>
      </c>
      <c r="N55">
        <v>0.772675</v>
      </c>
      <c r="O55">
        <v>0.622</v>
      </c>
      <c r="P55">
        <v>2.2999999999999998</v>
      </c>
      <c r="Q55">
        <v>-0.43121399999999999</v>
      </c>
    </row>
    <row r="56" spans="1:17" ht="13.9" x14ac:dyDescent="0.25">
      <c r="A56" s="156" t="s">
        <v>24</v>
      </c>
      <c r="B56" s="156" t="s">
        <v>938</v>
      </c>
      <c r="C56" s="156">
        <v>9532</v>
      </c>
      <c r="D56">
        <v>177</v>
      </c>
      <c r="E56">
        <v>105</v>
      </c>
      <c r="F56">
        <v>0</v>
      </c>
      <c r="G56">
        <v>213</v>
      </c>
      <c r="H56">
        <v>1.68571</v>
      </c>
      <c r="I56">
        <v>1.95</v>
      </c>
      <c r="J56">
        <v>1.1088</v>
      </c>
      <c r="K56">
        <v>9.8754200000000001</v>
      </c>
      <c r="L56">
        <v>8.5966299999999995E-2</v>
      </c>
      <c r="M56">
        <v>0.56699999999999995</v>
      </c>
      <c r="N56">
        <v>0.772675</v>
      </c>
      <c r="O56">
        <v>0.622</v>
      </c>
      <c r="P56">
        <v>2.2999999999999998</v>
      </c>
      <c r="Q56">
        <v>-0.30601400000000001</v>
      </c>
    </row>
    <row r="57" spans="1:17" ht="13.9" x14ac:dyDescent="0.25">
      <c r="A57" s="156" t="s">
        <v>24</v>
      </c>
      <c r="B57" s="156" t="s">
        <v>939</v>
      </c>
      <c r="C57" s="156">
        <v>8623</v>
      </c>
      <c r="D57">
        <v>19</v>
      </c>
      <c r="E57">
        <v>10</v>
      </c>
      <c r="F57">
        <v>0</v>
      </c>
      <c r="G57">
        <v>17</v>
      </c>
      <c r="H57">
        <v>1.9</v>
      </c>
      <c r="I57">
        <v>1.95</v>
      </c>
      <c r="J57">
        <v>1.2608299999999999</v>
      </c>
      <c r="K57">
        <v>2.5413999999999999</v>
      </c>
      <c r="L57">
        <v>0.20264099999999999</v>
      </c>
      <c r="M57">
        <v>0.56699999999999995</v>
      </c>
      <c r="N57">
        <v>0.772675</v>
      </c>
      <c r="O57">
        <v>0.622</v>
      </c>
      <c r="P57">
        <v>2.2999999999999998</v>
      </c>
      <c r="Q57">
        <v>-0.46941699999999997</v>
      </c>
    </row>
    <row r="58" spans="1:17" ht="13.9" x14ac:dyDescent="0.25">
      <c r="A58" s="156" t="s">
        <v>24</v>
      </c>
      <c r="B58" s="156" t="s">
        <v>7</v>
      </c>
      <c r="C58" s="156">
        <v>6691</v>
      </c>
      <c r="D58">
        <v>1422</v>
      </c>
      <c r="E58">
        <v>664</v>
      </c>
      <c r="F58">
        <v>0</v>
      </c>
      <c r="G58">
        <v>744</v>
      </c>
      <c r="H58">
        <v>2.1415700000000002</v>
      </c>
      <c r="I58">
        <v>1.95</v>
      </c>
      <c r="J58">
        <v>1.0959399999999999</v>
      </c>
      <c r="K58">
        <v>69.9602</v>
      </c>
      <c r="L58">
        <v>9.5318799999999995E-2</v>
      </c>
      <c r="M58">
        <v>0.56699999999999995</v>
      </c>
      <c r="N58">
        <v>0.772675</v>
      </c>
      <c r="O58">
        <v>0.622</v>
      </c>
      <c r="P58">
        <v>2.2999999999999998</v>
      </c>
      <c r="Q58">
        <v>-0.27404600000000001</v>
      </c>
    </row>
    <row r="59" spans="1:17" ht="13.9" x14ac:dyDescent="0.25">
      <c r="A59" s="156" t="s">
        <v>24</v>
      </c>
      <c r="B59" s="156" t="s">
        <v>13</v>
      </c>
      <c r="C59" s="156">
        <v>4406</v>
      </c>
      <c r="D59">
        <v>6829</v>
      </c>
      <c r="E59">
        <v>3278</v>
      </c>
      <c r="F59">
        <v>177</v>
      </c>
      <c r="G59">
        <v>4455</v>
      </c>
      <c r="H59">
        <v>2.0832799999999998</v>
      </c>
      <c r="I59">
        <v>1.95</v>
      </c>
      <c r="J59">
        <v>1.13849</v>
      </c>
      <c r="K59">
        <v>484.98500000000001</v>
      </c>
      <c r="L59">
        <v>0.128883</v>
      </c>
      <c r="M59">
        <v>0.56699999999999995</v>
      </c>
      <c r="N59">
        <v>0.772675</v>
      </c>
      <c r="O59">
        <v>0.622</v>
      </c>
      <c r="P59">
        <v>2.2999999999999998</v>
      </c>
      <c r="Q59">
        <v>0.449075</v>
      </c>
    </row>
    <row r="60" spans="1:17" ht="13.9" x14ac:dyDescent="0.25">
      <c r="A60" s="156" t="s">
        <v>24</v>
      </c>
      <c r="B60" s="156" t="s">
        <v>940</v>
      </c>
      <c r="C60" s="156">
        <v>4008</v>
      </c>
      <c r="D60">
        <v>176</v>
      </c>
      <c r="E60">
        <v>105</v>
      </c>
      <c r="F60">
        <v>0</v>
      </c>
      <c r="G60">
        <v>145</v>
      </c>
      <c r="H60">
        <v>1.6761900000000001</v>
      </c>
      <c r="I60">
        <v>1.95</v>
      </c>
      <c r="J60">
        <v>1.07541</v>
      </c>
      <c r="K60">
        <v>6.8065100000000003</v>
      </c>
      <c r="L60">
        <v>6.0877599999999997E-2</v>
      </c>
      <c r="M60">
        <v>0.56699999999999995</v>
      </c>
      <c r="N60">
        <v>0.772675</v>
      </c>
      <c r="O60">
        <v>0.622</v>
      </c>
      <c r="P60">
        <v>2.2999999999999998</v>
      </c>
      <c r="Q60">
        <v>0.110862</v>
      </c>
    </row>
    <row r="61" spans="1:17" ht="13.9" x14ac:dyDescent="0.25">
      <c r="A61" s="156" t="s">
        <v>24</v>
      </c>
      <c r="B61" s="156" t="s">
        <v>844</v>
      </c>
      <c r="C61" s="156">
        <v>872</v>
      </c>
      <c r="D61">
        <v>223</v>
      </c>
      <c r="E61">
        <v>147</v>
      </c>
      <c r="F61">
        <v>0</v>
      </c>
      <c r="G61">
        <v>186</v>
      </c>
      <c r="H61">
        <v>1.51701</v>
      </c>
      <c r="I61">
        <v>1.95</v>
      </c>
      <c r="J61">
        <v>1.07541</v>
      </c>
      <c r="K61">
        <v>8.6241500000000002</v>
      </c>
      <c r="L61">
        <v>5.54165E-2</v>
      </c>
      <c r="M61">
        <v>0.56699999999999995</v>
      </c>
      <c r="N61">
        <v>0.772675</v>
      </c>
      <c r="O61">
        <v>0.622</v>
      </c>
      <c r="P61">
        <v>2.2999999999999998</v>
      </c>
      <c r="Q61">
        <v>0.110862</v>
      </c>
    </row>
    <row r="62" spans="1:17" ht="13.9" x14ac:dyDescent="0.25">
      <c r="A62" s="156" t="s">
        <v>24</v>
      </c>
      <c r="B62" s="156" t="s">
        <v>132</v>
      </c>
      <c r="C62" s="156">
        <v>8147</v>
      </c>
      <c r="D62">
        <v>919</v>
      </c>
      <c r="E62">
        <v>484</v>
      </c>
      <c r="F62">
        <v>0</v>
      </c>
      <c r="G62">
        <v>710</v>
      </c>
      <c r="H62">
        <v>1.89876</v>
      </c>
      <c r="I62">
        <v>1.95</v>
      </c>
      <c r="J62">
        <v>1.10314</v>
      </c>
      <c r="K62">
        <v>48.607999999999997</v>
      </c>
      <c r="L62">
        <v>9.1264200000000004E-2</v>
      </c>
      <c r="M62">
        <v>0.56699999999999995</v>
      </c>
      <c r="N62">
        <v>0.772675</v>
      </c>
      <c r="O62">
        <v>0.622</v>
      </c>
      <c r="P62">
        <v>2.2999999999999998</v>
      </c>
      <c r="Q62">
        <v>-9.3794100000000005E-2</v>
      </c>
    </row>
    <row r="63" spans="1:17" ht="13.9" x14ac:dyDescent="0.25">
      <c r="A63" s="156" t="s">
        <v>24</v>
      </c>
      <c r="B63" s="156" t="s">
        <v>478</v>
      </c>
      <c r="C63" s="156">
        <v>20230</v>
      </c>
      <c r="D63">
        <v>3893</v>
      </c>
      <c r="E63">
        <v>1952</v>
      </c>
      <c r="F63">
        <v>0</v>
      </c>
      <c r="G63">
        <v>2904</v>
      </c>
      <c r="H63">
        <v>1.9943599999999999</v>
      </c>
      <c r="I63">
        <v>1.95</v>
      </c>
      <c r="J63">
        <v>1.07508</v>
      </c>
      <c r="K63">
        <v>149.9</v>
      </c>
      <c r="L63">
        <v>7.1316699999999997E-2</v>
      </c>
      <c r="M63">
        <v>0.56699999999999995</v>
      </c>
      <c r="N63">
        <v>0.772675</v>
      </c>
      <c r="O63">
        <v>0.622</v>
      </c>
      <c r="P63">
        <v>2.2999999999999998</v>
      </c>
      <c r="Q63">
        <v>0.51644500000000004</v>
      </c>
    </row>
    <row r="64" spans="1:17" ht="13.9" x14ac:dyDescent="0.25">
      <c r="A64" s="156" t="s">
        <v>24</v>
      </c>
      <c r="B64" s="156" t="s">
        <v>144</v>
      </c>
      <c r="C64" s="156">
        <v>4153</v>
      </c>
      <c r="D64">
        <v>10067</v>
      </c>
      <c r="E64">
        <v>4927</v>
      </c>
      <c r="F64">
        <v>19</v>
      </c>
      <c r="G64">
        <v>5865</v>
      </c>
      <c r="H64">
        <v>2.0432299999999999</v>
      </c>
      <c r="I64">
        <v>1.95</v>
      </c>
      <c r="J64">
        <v>1.0640700000000001</v>
      </c>
      <c r="K64">
        <v>330.755</v>
      </c>
      <c r="L64">
        <v>6.2908099999999995E-2</v>
      </c>
      <c r="M64">
        <v>0.56699999999999995</v>
      </c>
      <c r="N64">
        <v>0.772675</v>
      </c>
      <c r="O64">
        <v>0.622</v>
      </c>
      <c r="P64">
        <v>2.2999999999999998</v>
      </c>
      <c r="Q64">
        <v>-0.329924</v>
      </c>
    </row>
    <row r="65" spans="1:17" ht="13.9" x14ac:dyDescent="0.25">
      <c r="A65" s="156" t="s">
        <v>24</v>
      </c>
      <c r="B65" s="156" t="s">
        <v>145</v>
      </c>
      <c r="C65" s="156">
        <v>1345</v>
      </c>
      <c r="D65">
        <v>359</v>
      </c>
      <c r="E65">
        <v>226</v>
      </c>
      <c r="F65">
        <v>0</v>
      </c>
      <c r="G65">
        <v>274</v>
      </c>
      <c r="H65">
        <v>1.5885</v>
      </c>
      <c r="I65">
        <v>1.95</v>
      </c>
      <c r="J65">
        <v>1.08029</v>
      </c>
      <c r="K65">
        <v>14.7812</v>
      </c>
      <c r="L65">
        <v>6.1388600000000001E-2</v>
      </c>
      <c r="M65">
        <v>0.56699999999999995</v>
      </c>
      <c r="N65">
        <v>0.772675</v>
      </c>
      <c r="O65">
        <v>0.622</v>
      </c>
      <c r="P65">
        <v>2.2999999999999998</v>
      </c>
      <c r="Q65">
        <v>-0.50578900000000004</v>
      </c>
    </row>
    <row r="66" spans="1:17" ht="13.9" x14ac:dyDescent="0.25">
      <c r="A66" s="156" t="s">
        <v>24</v>
      </c>
      <c r="B66" s="156" t="s">
        <v>921</v>
      </c>
      <c r="C66" s="156">
        <v>9097</v>
      </c>
      <c r="D66">
        <v>488</v>
      </c>
      <c r="E66">
        <v>207</v>
      </c>
      <c r="F66">
        <v>0</v>
      </c>
      <c r="G66">
        <v>245</v>
      </c>
      <c r="H66">
        <v>2.3574899999999999</v>
      </c>
      <c r="I66">
        <v>1.95</v>
      </c>
      <c r="J66">
        <v>1.1883600000000001</v>
      </c>
      <c r="K66">
        <v>47.139499999999998</v>
      </c>
      <c r="L66">
        <v>0.18548700000000001</v>
      </c>
      <c r="M66">
        <v>0.56699999999999995</v>
      </c>
      <c r="N66">
        <v>0.772675</v>
      </c>
      <c r="O66">
        <v>0.622</v>
      </c>
      <c r="P66">
        <v>2.2999999999999998</v>
      </c>
      <c r="Q66">
        <v>-0.70616400000000001</v>
      </c>
    </row>
    <row r="67" spans="1:17" ht="13.9" x14ac:dyDescent="0.25">
      <c r="A67" s="156" t="s">
        <v>24</v>
      </c>
      <c r="B67" s="156" t="s">
        <v>175</v>
      </c>
      <c r="C67" s="156">
        <v>11839</v>
      </c>
      <c r="D67">
        <v>1105</v>
      </c>
      <c r="E67">
        <v>554</v>
      </c>
      <c r="F67">
        <v>0</v>
      </c>
      <c r="G67">
        <v>646</v>
      </c>
      <c r="H67">
        <v>1.99458</v>
      </c>
      <c r="I67">
        <v>1.95</v>
      </c>
      <c r="J67">
        <v>1.08243</v>
      </c>
      <c r="K67">
        <v>46.709200000000003</v>
      </c>
      <c r="L67">
        <v>7.7756800000000001E-2</v>
      </c>
      <c r="M67">
        <v>0.56699999999999995</v>
      </c>
      <c r="N67">
        <v>0.772675</v>
      </c>
      <c r="O67">
        <v>0.622</v>
      </c>
      <c r="P67">
        <v>2.2999999999999998</v>
      </c>
      <c r="Q67">
        <v>-0.264936</v>
      </c>
    </row>
    <row r="68" spans="1:17" ht="13.9" x14ac:dyDescent="0.25">
      <c r="A68" s="156" t="s">
        <v>15</v>
      </c>
      <c r="B68" s="156" t="s">
        <v>14</v>
      </c>
      <c r="C68" s="156">
        <v>4725</v>
      </c>
      <c r="D68">
        <v>11856</v>
      </c>
      <c r="E68">
        <v>4186</v>
      </c>
      <c r="F68">
        <v>708</v>
      </c>
      <c r="G68">
        <v>4981</v>
      </c>
      <c r="H68">
        <v>2.8323</v>
      </c>
      <c r="I68">
        <v>1.95</v>
      </c>
      <c r="J68">
        <v>1.1179600000000001</v>
      </c>
      <c r="K68">
        <v>717.21500000000003</v>
      </c>
      <c r="L68">
        <v>0.14627399999999999</v>
      </c>
      <c r="M68">
        <v>0.56699999999999995</v>
      </c>
      <c r="N68">
        <v>0.772675</v>
      </c>
      <c r="O68">
        <v>0.54900000000000004</v>
      </c>
      <c r="P68">
        <v>2.2999999999999998</v>
      </c>
      <c r="Q68">
        <v>-0.60567199999999999</v>
      </c>
    </row>
    <row r="69" spans="1:17" ht="13.9" x14ac:dyDescent="0.25">
      <c r="A69" s="156" t="s">
        <v>15</v>
      </c>
      <c r="B69" s="156" t="s">
        <v>102</v>
      </c>
      <c r="C69" s="156">
        <v>20457</v>
      </c>
      <c r="D69">
        <v>11050</v>
      </c>
      <c r="E69">
        <v>4752</v>
      </c>
      <c r="F69">
        <v>387</v>
      </c>
      <c r="G69">
        <v>6685</v>
      </c>
      <c r="H69">
        <v>2.3253400000000002</v>
      </c>
      <c r="I69">
        <v>1.95</v>
      </c>
      <c r="J69">
        <v>1.4425699999999999</v>
      </c>
      <c r="K69">
        <v>2507.92</v>
      </c>
      <c r="L69">
        <v>0.345447</v>
      </c>
      <c r="M69">
        <v>0.56699999999999995</v>
      </c>
      <c r="N69">
        <v>0.772675</v>
      </c>
      <c r="O69">
        <v>0.54900000000000004</v>
      </c>
      <c r="P69">
        <v>2.2999999999999998</v>
      </c>
      <c r="Q69">
        <v>-0.80090600000000001</v>
      </c>
    </row>
    <row r="70" spans="1:17" ht="13.9" x14ac:dyDescent="0.25">
      <c r="A70" s="156" t="s">
        <v>15</v>
      </c>
      <c r="B70" s="156" t="s">
        <v>845</v>
      </c>
      <c r="C70" s="156">
        <v>6483</v>
      </c>
      <c r="D70">
        <v>1267</v>
      </c>
      <c r="E70">
        <v>451</v>
      </c>
      <c r="F70">
        <v>0</v>
      </c>
      <c r="G70">
        <v>540</v>
      </c>
      <c r="H70">
        <v>2.80931</v>
      </c>
      <c r="I70">
        <v>1.95</v>
      </c>
      <c r="J70">
        <v>1.1179600000000001</v>
      </c>
      <c r="K70">
        <v>76.645700000000005</v>
      </c>
      <c r="L70">
        <v>0.14526</v>
      </c>
      <c r="M70">
        <v>0.56699999999999995</v>
      </c>
      <c r="N70">
        <v>0.772675</v>
      </c>
      <c r="O70">
        <v>0.54900000000000004</v>
      </c>
      <c r="P70">
        <v>2.2999999999999998</v>
      </c>
      <c r="Q70">
        <v>-0.54767999999999994</v>
      </c>
    </row>
    <row r="71" spans="1:17" ht="13.9" x14ac:dyDescent="0.25">
      <c r="A71" s="156" t="s">
        <v>57</v>
      </c>
      <c r="B71" s="156" t="s">
        <v>56</v>
      </c>
      <c r="C71" s="156">
        <v>30</v>
      </c>
      <c r="D71">
        <v>3753</v>
      </c>
      <c r="E71">
        <v>1051</v>
      </c>
      <c r="F71">
        <v>49</v>
      </c>
      <c r="G71">
        <v>1411</v>
      </c>
      <c r="H71">
        <v>3.5708799999999998</v>
      </c>
      <c r="I71">
        <v>1.95</v>
      </c>
      <c r="J71">
        <v>1.08432</v>
      </c>
      <c r="K71">
        <v>162.28</v>
      </c>
      <c r="L71">
        <v>0.13375300000000001</v>
      </c>
      <c r="M71">
        <v>0.56699999999999995</v>
      </c>
      <c r="N71">
        <v>0.772675</v>
      </c>
      <c r="O71">
        <v>0.54900000000000004</v>
      </c>
      <c r="P71">
        <v>2.2999999999999998</v>
      </c>
      <c r="Q71">
        <v>-0.86705200000000004</v>
      </c>
    </row>
    <row r="72" spans="1:17" ht="13.9" x14ac:dyDescent="0.25">
      <c r="A72" s="156" t="s">
        <v>57</v>
      </c>
      <c r="B72" s="156" t="s">
        <v>90</v>
      </c>
      <c r="C72" s="156">
        <v>4461</v>
      </c>
      <c r="D72">
        <v>8604</v>
      </c>
      <c r="E72">
        <v>2773</v>
      </c>
      <c r="F72">
        <v>199</v>
      </c>
      <c r="G72">
        <v>3151</v>
      </c>
      <c r="H72">
        <v>3.1027800000000001</v>
      </c>
      <c r="I72">
        <v>1.95</v>
      </c>
      <c r="J72">
        <v>1.0324599999999999</v>
      </c>
      <c r="K72">
        <v>143.21</v>
      </c>
      <c r="L72">
        <v>4.9108400000000003E-2</v>
      </c>
      <c r="M72">
        <v>0.56699999999999995</v>
      </c>
      <c r="N72">
        <v>0.772675</v>
      </c>
      <c r="O72">
        <v>0.54900000000000004</v>
      </c>
      <c r="P72">
        <v>2.2999999999999998</v>
      </c>
      <c r="Q72">
        <v>-0.75896699999999995</v>
      </c>
    </row>
    <row r="73" spans="1:17" ht="13.9" x14ac:dyDescent="0.25">
      <c r="A73" s="156" t="s">
        <v>57</v>
      </c>
      <c r="B73" s="156" t="s">
        <v>847</v>
      </c>
      <c r="C73" s="156">
        <v>11352</v>
      </c>
      <c r="D73">
        <v>416</v>
      </c>
      <c r="E73">
        <v>196</v>
      </c>
      <c r="F73">
        <v>0</v>
      </c>
      <c r="G73">
        <v>314</v>
      </c>
      <c r="H73">
        <v>2.1224500000000002</v>
      </c>
      <c r="I73">
        <v>1.95</v>
      </c>
      <c r="J73">
        <v>1.0324599999999999</v>
      </c>
      <c r="K73">
        <v>6.9241599999999996</v>
      </c>
      <c r="L73">
        <v>3.4121899999999997E-2</v>
      </c>
      <c r="M73">
        <v>0.56699999999999995</v>
      </c>
      <c r="N73">
        <v>0.772675</v>
      </c>
      <c r="O73">
        <v>0.54900000000000004</v>
      </c>
      <c r="P73">
        <v>2.2999999999999998</v>
      </c>
      <c r="Q73">
        <v>-0.95257899999999995</v>
      </c>
    </row>
    <row r="74" spans="1:17" ht="13.9" x14ac:dyDescent="0.25">
      <c r="A74" s="156" t="s">
        <v>57</v>
      </c>
      <c r="B74" s="156" t="s">
        <v>941</v>
      </c>
      <c r="C74" s="156">
        <v>11087</v>
      </c>
      <c r="D74">
        <v>202</v>
      </c>
      <c r="E74">
        <v>89</v>
      </c>
      <c r="F74">
        <v>0</v>
      </c>
      <c r="G74">
        <v>120</v>
      </c>
      <c r="H74">
        <v>2.26966</v>
      </c>
      <c r="I74">
        <v>1.95</v>
      </c>
      <c r="J74">
        <v>1.0324599999999999</v>
      </c>
      <c r="K74">
        <v>3.3622100000000001</v>
      </c>
      <c r="L74">
        <v>3.6402499999999997E-2</v>
      </c>
      <c r="M74">
        <v>0.56699999999999995</v>
      </c>
      <c r="N74">
        <v>0.772675</v>
      </c>
      <c r="O74">
        <v>0.54900000000000004</v>
      </c>
      <c r="P74">
        <v>2.2999999999999998</v>
      </c>
      <c r="Q74">
        <v>-1.05582</v>
      </c>
    </row>
    <row r="75" spans="1:17" ht="13.9" x14ac:dyDescent="0.25">
      <c r="A75" s="156" t="s">
        <v>57</v>
      </c>
      <c r="B75" s="156" t="s">
        <v>111</v>
      </c>
      <c r="C75" s="156">
        <v>13026</v>
      </c>
      <c r="D75">
        <v>3124</v>
      </c>
      <c r="E75">
        <v>966</v>
      </c>
      <c r="F75">
        <v>0</v>
      </c>
      <c r="G75">
        <v>1147</v>
      </c>
      <c r="H75">
        <v>3.2339500000000001</v>
      </c>
      <c r="I75">
        <v>1.95</v>
      </c>
      <c r="J75">
        <v>1.0518000000000001</v>
      </c>
      <c r="K75">
        <v>82.981499999999997</v>
      </c>
      <c r="L75">
        <v>7.9106700000000002E-2</v>
      </c>
      <c r="M75">
        <v>0.56699999999999995</v>
      </c>
      <c r="N75">
        <v>0.772675</v>
      </c>
      <c r="O75">
        <v>0.54900000000000004</v>
      </c>
      <c r="P75">
        <v>2.2999999999999998</v>
      </c>
      <c r="Q75">
        <v>-0.96522399999999997</v>
      </c>
    </row>
    <row r="76" spans="1:17" ht="13.9" x14ac:dyDescent="0.25">
      <c r="A76" s="156" t="s">
        <v>57</v>
      </c>
      <c r="B76" s="156" t="s">
        <v>480</v>
      </c>
      <c r="C76" s="156">
        <v>7022</v>
      </c>
      <c r="D76">
        <v>5</v>
      </c>
      <c r="E76">
        <v>3</v>
      </c>
      <c r="F76">
        <v>0</v>
      </c>
      <c r="G76">
        <v>3</v>
      </c>
      <c r="H76">
        <v>1.6666700000000001</v>
      </c>
      <c r="I76">
        <v>1.95</v>
      </c>
      <c r="J76">
        <v>1.0324599999999999</v>
      </c>
      <c r="K76">
        <v>8.3223099999999994E-2</v>
      </c>
      <c r="L76">
        <v>2.6992200000000001E-2</v>
      </c>
      <c r="M76">
        <v>0.56699999999999995</v>
      </c>
      <c r="N76">
        <v>0.772675</v>
      </c>
      <c r="O76">
        <v>0.54900000000000004</v>
      </c>
      <c r="P76">
        <v>2.2999999999999998</v>
      </c>
      <c r="Q76">
        <v>-0.55482500000000001</v>
      </c>
    </row>
    <row r="77" spans="1:17" ht="13.9" x14ac:dyDescent="0.25">
      <c r="A77" s="156" t="s">
        <v>57</v>
      </c>
      <c r="B77" s="156" t="s">
        <v>846</v>
      </c>
      <c r="C77" s="156">
        <v>2402</v>
      </c>
      <c r="D77">
        <v>103</v>
      </c>
      <c r="E77">
        <v>53</v>
      </c>
      <c r="F77">
        <v>0</v>
      </c>
      <c r="G77">
        <v>63</v>
      </c>
      <c r="H77">
        <v>1.9434</v>
      </c>
      <c r="I77">
        <v>1.95</v>
      </c>
      <c r="J77">
        <v>1.08432</v>
      </c>
      <c r="K77">
        <v>4.4537199999999997</v>
      </c>
      <c r="L77">
        <v>7.7518400000000001E-2</v>
      </c>
      <c r="M77">
        <v>0.56699999999999995</v>
      </c>
      <c r="N77">
        <v>0.772675</v>
      </c>
      <c r="O77">
        <v>0.54900000000000004</v>
      </c>
      <c r="P77">
        <v>2.2999999999999998</v>
      </c>
      <c r="Q77">
        <v>-1.0386500000000001</v>
      </c>
    </row>
    <row r="78" spans="1:17" ht="13.9" x14ac:dyDescent="0.25">
      <c r="A78" s="156" t="s">
        <v>57</v>
      </c>
      <c r="B78" s="156" t="s">
        <v>897</v>
      </c>
      <c r="C78" s="156">
        <v>11180</v>
      </c>
      <c r="D78">
        <v>89</v>
      </c>
      <c r="E78">
        <v>35</v>
      </c>
      <c r="F78">
        <v>0</v>
      </c>
      <c r="G78">
        <v>37</v>
      </c>
      <c r="H78">
        <v>2.5428600000000001</v>
      </c>
      <c r="I78">
        <v>1.95</v>
      </c>
      <c r="J78">
        <v>1.08432</v>
      </c>
      <c r="K78">
        <v>3.84836</v>
      </c>
      <c r="L78">
        <v>9.9061099999999999E-2</v>
      </c>
      <c r="M78">
        <v>0.56699999999999995</v>
      </c>
      <c r="N78">
        <v>0.772675</v>
      </c>
      <c r="O78">
        <v>0.54900000000000004</v>
      </c>
      <c r="P78">
        <v>2.2999999999999998</v>
      </c>
      <c r="Q78">
        <v>-1.0386500000000001</v>
      </c>
    </row>
    <row r="79" spans="1:17" ht="13.9" x14ac:dyDescent="0.25">
      <c r="A79" s="156" t="s">
        <v>57</v>
      </c>
      <c r="B79" s="156" t="s">
        <v>16</v>
      </c>
      <c r="C79" s="156">
        <v>7658</v>
      </c>
      <c r="D79">
        <v>2043</v>
      </c>
      <c r="E79">
        <v>582</v>
      </c>
      <c r="F79">
        <v>0</v>
      </c>
      <c r="G79">
        <v>655</v>
      </c>
      <c r="H79">
        <v>3.51031</v>
      </c>
      <c r="I79">
        <v>1.95</v>
      </c>
      <c r="J79">
        <v>1.1684399999999999</v>
      </c>
      <c r="K79">
        <v>176.46899999999999</v>
      </c>
      <c r="L79">
        <v>0.23266500000000001</v>
      </c>
      <c r="M79">
        <v>0.56699999999999995</v>
      </c>
      <c r="N79">
        <v>0.772675</v>
      </c>
      <c r="O79">
        <v>0.54900000000000004</v>
      </c>
      <c r="P79">
        <v>2.2999999999999998</v>
      </c>
      <c r="Q79">
        <v>-0.91105999999999998</v>
      </c>
    </row>
    <row r="80" spans="1:17" ht="13.9" x14ac:dyDescent="0.25">
      <c r="A80" s="156" t="s">
        <v>26</v>
      </c>
      <c r="B80" s="156" t="s">
        <v>850</v>
      </c>
      <c r="C80" s="156">
        <v>8443</v>
      </c>
      <c r="D80">
        <v>357</v>
      </c>
      <c r="E80">
        <v>190</v>
      </c>
      <c r="F80">
        <v>0</v>
      </c>
      <c r="G80">
        <v>269</v>
      </c>
      <c r="H80">
        <v>1.8789499999999999</v>
      </c>
      <c r="I80">
        <v>1.95</v>
      </c>
      <c r="J80">
        <v>1.11751</v>
      </c>
      <c r="K80">
        <v>21.5136</v>
      </c>
      <c r="L80">
        <v>0.101712</v>
      </c>
      <c r="M80">
        <v>0.56699999999999995</v>
      </c>
      <c r="N80">
        <v>0.772675</v>
      </c>
      <c r="O80">
        <v>0.69699999999999995</v>
      </c>
      <c r="P80">
        <v>2.2999999999999998</v>
      </c>
      <c r="Q80">
        <v>-0.39550600000000002</v>
      </c>
    </row>
    <row r="81" spans="1:17" ht="13.9" x14ac:dyDescent="0.25">
      <c r="A81" s="156" t="s">
        <v>26</v>
      </c>
      <c r="B81" s="156" t="s">
        <v>848</v>
      </c>
      <c r="C81" s="156">
        <v>1891</v>
      </c>
      <c r="D81">
        <v>523</v>
      </c>
      <c r="E81">
        <v>256</v>
      </c>
      <c r="F81">
        <v>0</v>
      </c>
      <c r="G81">
        <v>304</v>
      </c>
      <c r="H81">
        <v>2.04297</v>
      </c>
      <c r="I81">
        <v>1.95</v>
      </c>
      <c r="J81">
        <v>1.1302700000000001</v>
      </c>
      <c r="K81">
        <v>34.938499999999998</v>
      </c>
      <c r="L81">
        <v>0.120089</v>
      </c>
      <c r="M81">
        <v>0.56699999999999995</v>
      </c>
      <c r="N81">
        <v>0.772675</v>
      </c>
      <c r="O81">
        <v>0.69699999999999995</v>
      </c>
      <c r="P81">
        <v>2.2999999999999998</v>
      </c>
      <c r="Q81">
        <v>-0.28861199999999998</v>
      </c>
    </row>
    <row r="82" spans="1:17" ht="13.9" x14ac:dyDescent="0.25">
      <c r="A82" s="156" t="s">
        <v>26</v>
      </c>
      <c r="B82" s="156" t="s">
        <v>59</v>
      </c>
      <c r="C82" s="156">
        <v>7627</v>
      </c>
      <c r="D82">
        <v>19263</v>
      </c>
      <c r="E82">
        <v>8418</v>
      </c>
      <c r="F82">
        <v>509</v>
      </c>
      <c r="G82">
        <v>10251</v>
      </c>
      <c r="H82">
        <v>2.2883100000000001</v>
      </c>
      <c r="I82">
        <v>1.95</v>
      </c>
      <c r="J82">
        <v>1.1030899999999999</v>
      </c>
      <c r="K82">
        <v>1018.39</v>
      </c>
      <c r="L82">
        <v>0.107922</v>
      </c>
      <c r="M82">
        <v>0.56699999999999995</v>
      </c>
      <c r="N82">
        <v>0.772675</v>
      </c>
      <c r="O82">
        <v>0.69699999999999995</v>
      </c>
      <c r="P82">
        <v>2.2999999999999998</v>
      </c>
      <c r="Q82">
        <v>0.43797199999999997</v>
      </c>
    </row>
    <row r="83" spans="1:17" ht="13.9" x14ac:dyDescent="0.25">
      <c r="A83" s="156" t="s">
        <v>26</v>
      </c>
      <c r="B83" s="156" t="s">
        <v>112</v>
      </c>
      <c r="C83" s="156">
        <v>5789</v>
      </c>
      <c r="D83">
        <v>133900</v>
      </c>
      <c r="E83">
        <v>56572</v>
      </c>
      <c r="F83">
        <v>1217</v>
      </c>
      <c r="G83">
        <v>66020</v>
      </c>
      <c r="H83">
        <v>2.3668999999999998</v>
      </c>
      <c r="I83">
        <v>1.95</v>
      </c>
      <c r="J83">
        <v>1.09423</v>
      </c>
      <c r="K83">
        <v>6470.53</v>
      </c>
      <c r="L83">
        <v>0.10263799999999999</v>
      </c>
      <c r="M83">
        <v>0.56699999999999995</v>
      </c>
      <c r="N83">
        <v>0.772675</v>
      </c>
      <c r="O83">
        <v>0.69699999999999995</v>
      </c>
      <c r="P83">
        <v>2.2999999999999998</v>
      </c>
      <c r="Q83">
        <v>-0.24301800000000001</v>
      </c>
    </row>
    <row r="84" spans="1:17" ht="13.9" x14ac:dyDescent="0.25">
      <c r="A84" s="156" t="s">
        <v>26</v>
      </c>
      <c r="B84" s="156" t="s">
        <v>849</v>
      </c>
      <c r="C84" s="156">
        <v>2119</v>
      </c>
      <c r="D84">
        <v>337</v>
      </c>
      <c r="E84">
        <v>181</v>
      </c>
      <c r="F84">
        <v>0</v>
      </c>
      <c r="G84">
        <v>250</v>
      </c>
      <c r="H84">
        <v>1.86188</v>
      </c>
      <c r="I84">
        <v>1.95</v>
      </c>
      <c r="J84">
        <v>1.1030899999999999</v>
      </c>
      <c r="K84">
        <v>17.816400000000002</v>
      </c>
      <c r="L84">
        <v>8.9612399999999995E-2</v>
      </c>
      <c r="M84">
        <v>0.56699999999999995</v>
      </c>
      <c r="N84">
        <v>0.772675</v>
      </c>
      <c r="O84">
        <v>0.69699999999999995</v>
      </c>
      <c r="P84">
        <v>2.2999999999999998</v>
      </c>
      <c r="Q84">
        <v>-0.30007800000000001</v>
      </c>
    </row>
    <row r="85" spans="1:17" ht="13.9" x14ac:dyDescent="0.25">
      <c r="A85" s="156" t="s">
        <v>26</v>
      </c>
      <c r="B85" s="156" t="s">
        <v>129</v>
      </c>
      <c r="C85" s="156">
        <v>3720</v>
      </c>
      <c r="D85">
        <v>301</v>
      </c>
      <c r="E85">
        <v>164</v>
      </c>
      <c r="F85">
        <v>0</v>
      </c>
      <c r="G85">
        <v>218</v>
      </c>
      <c r="H85">
        <v>1.8353699999999999</v>
      </c>
      <c r="I85">
        <v>1.95</v>
      </c>
      <c r="J85">
        <v>1.11751</v>
      </c>
      <c r="K85">
        <v>18.1389</v>
      </c>
      <c r="L85">
        <v>9.9588200000000002E-2</v>
      </c>
      <c r="M85">
        <v>0.56699999999999995</v>
      </c>
      <c r="N85">
        <v>0.772675</v>
      </c>
      <c r="O85">
        <v>0.69699999999999995</v>
      </c>
      <c r="P85">
        <v>2.2999999999999998</v>
      </c>
      <c r="Q85">
        <v>0.324494</v>
      </c>
    </row>
    <row r="86" spans="1:17" ht="13.9" x14ac:dyDescent="0.25">
      <c r="A86" s="156" t="s">
        <v>27</v>
      </c>
      <c r="B86" s="156" t="s">
        <v>41</v>
      </c>
      <c r="C86" s="156">
        <v>7139</v>
      </c>
      <c r="D86">
        <v>1136</v>
      </c>
      <c r="E86">
        <v>654</v>
      </c>
      <c r="F86">
        <v>0</v>
      </c>
      <c r="G86">
        <v>855</v>
      </c>
      <c r="H86">
        <v>1.7370000000000001</v>
      </c>
      <c r="I86">
        <v>1.95</v>
      </c>
      <c r="J86">
        <v>1.1291800000000001</v>
      </c>
      <c r="K86">
        <v>75.253900000000002</v>
      </c>
      <c r="L86">
        <v>0.10319300000000001</v>
      </c>
      <c r="M86">
        <v>0.56699999999999995</v>
      </c>
      <c r="N86">
        <v>0.772675</v>
      </c>
      <c r="O86">
        <v>0.54900000000000004</v>
      </c>
      <c r="P86">
        <v>2.2999999999999998</v>
      </c>
      <c r="Q86">
        <v>9.0639399999999995E-2</v>
      </c>
    </row>
    <row r="87" spans="1:17" ht="13.9" x14ac:dyDescent="0.25">
      <c r="A87" s="156" t="s">
        <v>27</v>
      </c>
      <c r="B87" s="156" t="s">
        <v>54</v>
      </c>
      <c r="C87" s="156">
        <v>6029</v>
      </c>
      <c r="D87">
        <v>17680</v>
      </c>
      <c r="E87">
        <v>7072</v>
      </c>
      <c r="F87">
        <v>360</v>
      </c>
      <c r="G87">
        <v>9050</v>
      </c>
      <c r="H87">
        <v>2.5</v>
      </c>
      <c r="I87">
        <v>1.95</v>
      </c>
      <c r="J87">
        <v>1.08213</v>
      </c>
      <c r="K87">
        <v>744.64499999999998</v>
      </c>
      <c r="L87">
        <v>9.5264100000000004E-2</v>
      </c>
      <c r="M87">
        <v>0.56699999999999995</v>
      </c>
      <c r="N87">
        <v>0.772675</v>
      </c>
      <c r="O87">
        <v>0.54900000000000004</v>
      </c>
      <c r="P87">
        <v>2.2999999999999998</v>
      </c>
      <c r="Q87">
        <v>-0.35646899999999998</v>
      </c>
    </row>
    <row r="88" spans="1:17" ht="13.9" x14ac:dyDescent="0.25">
      <c r="A88" s="156" t="s">
        <v>27</v>
      </c>
      <c r="B88" s="156" t="s">
        <v>85</v>
      </c>
      <c r="C88" s="156">
        <v>4492</v>
      </c>
      <c r="D88">
        <v>37407</v>
      </c>
      <c r="E88">
        <v>17257</v>
      </c>
      <c r="F88">
        <v>915</v>
      </c>
      <c r="G88">
        <v>21912</v>
      </c>
      <c r="H88">
        <v>2.16764</v>
      </c>
      <c r="I88">
        <v>1.95</v>
      </c>
      <c r="J88">
        <v>1.1597200000000001</v>
      </c>
      <c r="K88">
        <v>3063.84</v>
      </c>
      <c r="L88">
        <v>0.15077299999999999</v>
      </c>
      <c r="M88">
        <v>0.56699999999999995</v>
      </c>
      <c r="N88">
        <v>0.772675</v>
      </c>
      <c r="O88">
        <v>0.54900000000000004</v>
      </c>
      <c r="P88">
        <v>2.2999999999999998</v>
      </c>
      <c r="Q88">
        <v>-0.20488999999999999</v>
      </c>
    </row>
    <row r="89" spans="1:17" ht="13.9" x14ac:dyDescent="0.25">
      <c r="A89" s="156" t="s">
        <v>27</v>
      </c>
      <c r="B89" s="156" t="s">
        <v>99</v>
      </c>
      <c r="C89" s="156">
        <v>7704</v>
      </c>
      <c r="D89">
        <v>800</v>
      </c>
      <c r="E89">
        <v>345</v>
      </c>
      <c r="F89">
        <v>0</v>
      </c>
      <c r="G89">
        <v>402</v>
      </c>
      <c r="H89">
        <v>2.3188399999999998</v>
      </c>
      <c r="I89">
        <v>1.95</v>
      </c>
      <c r="J89">
        <v>1.12788</v>
      </c>
      <c r="K89">
        <v>52.463200000000001</v>
      </c>
      <c r="L89">
        <v>0.131995</v>
      </c>
      <c r="M89">
        <v>0.56699999999999995</v>
      </c>
      <c r="N89">
        <v>0.772675</v>
      </c>
      <c r="O89">
        <v>0.54900000000000004</v>
      </c>
      <c r="P89">
        <v>2.2999999999999998</v>
      </c>
      <c r="Q89">
        <v>-0.67469000000000001</v>
      </c>
    </row>
    <row r="90" spans="1:17" ht="13.9" x14ac:dyDescent="0.25">
      <c r="A90" s="156" t="s">
        <v>27</v>
      </c>
      <c r="B90" s="156" t="s">
        <v>481</v>
      </c>
      <c r="C90" s="156">
        <v>9140</v>
      </c>
      <c r="D90">
        <v>15</v>
      </c>
      <c r="E90">
        <v>6</v>
      </c>
      <c r="F90">
        <v>0</v>
      </c>
      <c r="G90">
        <v>6</v>
      </c>
      <c r="H90">
        <v>2.5</v>
      </c>
      <c r="I90">
        <v>1.95</v>
      </c>
      <c r="J90">
        <v>1.12788</v>
      </c>
      <c r="K90">
        <v>0.98368500000000003</v>
      </c>
      <c r="L90">
        <v>0.14085500000000001</v>
      </c>
      <c r="M90">
        <v>0.56699999999999995</v>
      </c>
      <c r="N90">
        <v>0.772675</v>
      </c>
      <c r="O90">
        <v>0.54900000000000004</v>
      </c>
      <c r="P90">
        <v>2.2999999999999998</v>
      </c>
      <c r="Q90">
        <v>9.0639399999999995E-2</v>
      </c>
    </row>
    <row r="91" spans="1:17" ht="13.9" x14ac:dyDescent="0.25">
      <c r="A91" s="156" t="s">
        <v>27</v>
      </c>
      <c r="B91" s="156" t="s">
        <v>713</v>
      </c>
      <c r="C91" s="156">
        <v>4167</v>
      </c>
      <c r="D91">
        <v>1811</v>
      </c>
      <c r="E91">
        <v>835</v>
      </c>
      <c r="F91">
        <v>0</v>
      </c>
      <c r="G91">
        <v>1109</v>
      </c>
      <c r="H91">
        <v>2.16886</v>
      </c>
      <c r="I91">
        <v>1.95</v>
      </c>
      <c r="J91">
        <v>1.13927</v>
      </c>
      <c r="K91">
        <v>129.346</v>
      </c>
      <c r="L91">
        <v>0.134128</v>
      </c>
      <c r="M91">
        <v>0.56699999999999995</v>
      </c>
      <c r="N91">
        <v>0.772675</v>
      </c>
      <c r="O91">
        <v>0.54900000000000004</v>
      </c>
      <c r="P91">
        <v>2.2999999999999998</v>
      </c>
      <c r="Q91">
        <v>-0.10843700000000001</v>
      </c>
    </row>
    <row r="92" spans="1:17" ht="13.9" x14ac:dyDescent="0.25">
      <c r="A92" s="156" t="s">
        <v>27</v>
      </c>
      <c r="B92" s="156" t="s">
        <v>713</v>
      </c>
      <c r="C92" s="156">
        <v>6456</v>
      </c>
      <c r="D92">
        <v>454</v>
      </c>
      <c r="E92">
        <v>279</v>
      </c>
      <c r="F92">
        <v>0</v>
      </c>
      <c r="G92">
        <v>357</v>
      </c>
      <c r="H92">
        <v>1.62724</v>
      </c>
      <c r="I92">
        <v>1.95</v>
      </c>
      <c r="J92">
        <v>1.15096</v>
      </c>
      <c r="K92">
        <v>35.1477</v>
      </c>
      <c r="L92">
        <v>0.111883</v>
      </c>
      <c r="M92">
        <v>0.56699999999999995</v>
      </c>
      <c r="N92">
        <v>0.772675</v>
      </c>
      <c r="O92">
        <v>0.54900000000000004</v>
      </c>
      <c r="P92">
        <v>2.2999999999999998</v>
      </c>
      <c r="Q92">
        <v>-0.369537</v>
      </c>
    </row>
    <row r="93" spans="1:17" ht="13.9" x14ac:dyDescent="0.25">
      <c r="A93" s="156" t="s">
        <v>27</v>
      </c>
      <c r="B93" s="156" t="s">
        <v>922</v>
      </c>
      <c r="C93" s="156">
        <v>10930</v>
      </c>
      <c r="D93">
        <v>354</v>
      </c>
      <c r="E93">
        <v>213</v>
      </c>
      <c r="F93">
        <v>0</v>
      </c>
      <c r="G93">
        <v>442</v>
      </c>
      <c r="H93">
        <v>1.6619699999999999</v>
      </c>
      <c r="I93">
        <v>1.95</v>
      </c>
      <c r="J93">
        <v>1.15096</v>
      </c>
      <c r="K93">
        <v>27.405999999999999</v>
      </c>
      <c r="L93">
        <v>0.113999</v>
      </c>
      <c r="M93">
        <v>0.56699999999999995</v>
      </c>
      <c r="N93">
        <v>0.772675</v>
      </c>
      <c r="O93">
        <v>0.54900000000000004</v>
      </c>
      <c r="P93">
        <v>2.2999999999999998</v>
      </c>
      <c r="Q93">
        <v>-0.407744</v>
      </c>
    </row>
    <row r="94" spans="1:17" ht="13.9" x14ac:dyDescent="0.25">
      <c r="A94" s="156" t="s">
        <v>27</v>
      </c>
      <c r="B94" s="156" t="s">
        <v>898</v>
      </c>
      <c r="C94" s="156">
        <v>6804</v>
      </c>
      <c r="D94">
        <v>443</v>
      </c>
      <c r="E94">
        <v>253</v>
      </c>
      <c r="F94">
        <v>0</v>
      </c>
      <c r="G94">
        <v>422</v>
      </c>
      <c r="H94">
        <v>1.75099</v>
      </c>
      <c r="I94">
        <v>1.95</v>
      </c>
      <c r="J94">
        <v>1.08213</v>
      </c>
      <c r="K94">
        <v>18.658300000000001</v>
      </c>
      <c r="L94">
        <v>6.8682800000000002E-2</v>
      </c>
      <c r="M94">
        <v>0.56699999999999995</v>
      </c>
      <c r="N94">
        <v>0.772675</v>
      </c>
      <c r="O94">
        <v>0.54900000000000004</v>
      </c>
      <c r="P94">
        <v>2.2999999999999998</v>
      </c>
      <c r="Q94">
        <v>-0.33514500000000003</v>
      </c>
    </row>
    <row r="95" spans="1:17" ht="13.9" x14ac:dyDescent="0.25">
      <c r="A95" s="156" t="s">
        <v>27</v>
      </c>
      <c r="B95" s="156" t="s">
        <v>747</v>
      </c>
      <c r="C95" s="156">
        <v>13272</v>
      </c>
      <c r="D95">
        <v>16</v>
      </c>
      <c r="E95">
        <v>7</v>
      </c>
      <c r="F95">
        <v>0</v>
      </c>
      <c r="G95">
        <v>31</v>
      </c>
      <c r="H95">
        <v>2.2857099999999999</v>
      </c>
      <c r="I95">
        <v>1.95</v>
      </c>
      <c r="J95">
        <v>1.15096</v>
      </c>
      <c r="K95">
        <v>1.2386900000000001</v>
      </c>
      <c r="L95">
        <v>0.15035000000000001</v>
      </c>
      <c r="M95">
        <v>0.56699999999999995</v>
      </c>
      <c r="N95">
        <v>0.772675</v>
      </c>
      <c r="O95">
        <v>0.54900000000000004</v>
      </c>
      <c r="P95">
        <v>2.2999999999999998</v>
      </c>
      <c r="Q95">
        <v>-0.369537</v>
      </c>
    </row>
    <row r="96" spans="1:17" ht="13.9" x14ac:dyDescent="0.25">
      <c r="A96" s="156" t="s">
        <v>27</v>
      </c>
      <c r="B96" s="156" t="s">
        <v>122</v>
      </c>
      <c r="C96" s="156">
        <v>4980</v>
      </c>
      <c r="D96">
        <v>4278</v>
      </c>
      <c r="E96">
        <v>1824</v>
      </c>
      <c r="F96">
        <v>0</v>
      </c>
      <c r="G96">
        <v>2360</v>
      </c>
      <c r="H96">
        <v>2.3453900000000001</v>
      </c>
      <c r="I96">
        <v>1.95</v>
      </c>
      <c r="J96">
        <v>1.15096</v>
      </c>
      <c r="K96">
        <v>331.19400000000002</v>
      </c>
      <c r="L96">
        <v>0.153672</v>
      </c>
      <c r="M96">
        <v>0.56699999999999995</v>
      </c>
      <c r="N96">
        <v>0.772675</v>
      </c>
      <c r="O96">
        <v>0.54900000000000004</v>
      </c>
      <c r="P96">
        <v>2.2999999999999998</v>
      </c>
      <c r="Q96">
        <v>-0.404308</v>
      </c>
    </row>
    <row r="97" spans="1:17" ht="13.9" x14ac:dyDescent="0.25">
      <c r="A97" s="156" t="s">
        <v>27</v>
      </c>
      <c r="B97" s="156" t="s">
        <v>17</v>
      </c>
      <c r="C97" s="156">
        <v>9490</v>
      </c>
      <c r="D97">
        <v>401</v>
      </c>
      <c r="E97">
        <v>229</v>
      </c>
      <c r="F97">
        <v>0</v>
      </c>
      <c r="G97">
        <v>480</v>
      </c>
      <c r="H97">
        <v>1.75109</v>
      </c>
      <c r="I97">
        <v>1.95</v>
      </c>
      <c r="J97">
        <v>1.15096</v>
      </c>
      <c r="K97">
        <v>31.044599999999999</v>
      </c>
      <c r="L97">
        <v>0.119382</v>
      </c>
      <c r="M97">
        <v>0.56699999999999995</v>
      </c>
      <c r="N97">
        <v>0.772675</v>
      </c>
      <c r="O97">
        <v>0.54900000000000004</v>
      </c>
      <c r="P97">
        <v>2.2999999999999998</v>
      </c>
      <c r="Q97">
        <v>-0.407744</v>
      </c>
    </row>
    <row r="98" spans="1:17" ht="13.9" x14ac:dyDescent="0.25">
      <c r="A98" s="156" t="s">
        <v>27</v>
      </c>
      <c r="B98" s="156" t="s">
        <v>852</v>
      </c>
      <c r="C98" s="156">
        <v>20470</v>
      </c>
      <c r="D98">
        <v>101</v>
      </c>
      <c r="E98">
        <v>47</v>
      </c>
      <c r="F98">
        <v>0</v>
      </c>
      <c r="G98">
        <v>78</v>
      </c>
      <c r="H98">
        <v>2.1489400000000001</v>
      </c>
      <c r="I98">
        <v>1.95</v>
      </c>
      <c r="J98">
        <v>1.08213</v>
      </c>
      <c r="K98">
        <v>4.2539100000000003</v>
      </c>
      <c r="L98">
        <v>8.2996799999999996E-2</v>
      </c>
      <c r="M98">
        <v>0.56699999999999995</v>
      </c>
      <c r="N98">
        <v>0.772675</v>
      </c>
      <c r="O98">
        <v>0.54900000000000004</v>
      </c>
      <c r="P98">
        <v>2.2999999999999998</v>
      </c>
      <c r="Q98">
        <v>-0.26002599999999998</v>
      </c>
    </row>
    <row r="99" spans="1:17" ht="13.9" x14ac:dyDescent="0.25">
      <c r="A99" s="156" t="s">
        <v>27</v>
      </c>
      <c r="B99" s="156" t="s">
        <v>851</v>
      </c>
      <c r="C99" s="156">
        <v>11601</v>
      </c>
      <c r="D99">
        <v>306</v>
      </c>
      <c r="E99">
        <v>166</v>
      </c>
      <c r="F99">
        <v>0</v>
      </c>
      <c r="G99">
        <v>341</v>
      </c>
      <c r="H99">
        <v>1.84337</v>
      </c>
      <c r="I99">
        <v>1.95</v>
      </c>
      <c r="J99">
        <v>1.15096</v>
      </c>
      <c r="K99">
        <v>23.689900000000002</v>
      </c>
      <c r="L99">
        <v>0.124887</v>
      </c>
      <c r="M99">
        <v>0.56699999999999995</v>
      </c>
      <c r="N99">
        <v>0.772675</v>
      </c>
      <c r="O99">
        <v>0.54900000000000004</v>
      </c>
      <c r="P99">
        <v>2.2999999999999998</v>
      </c>
      <c r="Q99">
        <v>5.5803600000000004E-3</v>
      </c>
    </row>
    <row r="100" spans="1:17" ht="13.9" x14ac:dyDescent="0.25">
      <c r="A100" s="156" t="s">
        <v>27</v>
      </c>
      <c r="B100" s="156" t="s">
        <v>904</v>
      </c>
      <c r="C100" s="156">
        <v>4670</v>
      </c>
      <c r="D100">
        <v>635</v>
      </c>
      <c r="E100">
        <v>280</v>
      </c>
      <c r="F100">
        <v>0</v>
      </c>
      <c r="G100">
        <v>338</v>
      </c>
      <c r="H100">
        <v>2.2678600000000002</v>
      </c>
      <c r="I100">
        <v>1.95</v>
      </c>
      <c r="J100">
        <v>1.1371800000000001</v>
      </c>
      <c r="K100">
        <v>44.6708</v>
      </c>
      <c r="L100">
        <v>0.13758799999999999</v>
      </c>
      <c r="M100">
        <v>0.56699999999999995</v>
      </c>
      <c r="N100">
        <v>0.772675</v>
      </c>
      <c r="O100">
        <v>0.54900000000000004</v>
      </c>
      <c r="P100">
        <v>2.2999999999999998</v>
      </c>
      <c r="Q100">
        <v>-0.65234099999999995</v>
      </c>
    </row>
    <row r="101" spans="1:17" ht="13.9" x14ac:dyDescent="0.25">
      <c r="A101" s="156" t="s">
        <v>27</v>
      </c>
      <c r="B101" s="156" t="s">
        <v>151</v>
      </c>
      <c r="C101" s="156">
        <v>13367</v>
      </c>
      <c r="D101">
        <v>677</v>
      </c>
      <c r="E101">
        <v>279</v>
      </c>
      <c r="F101">
        <v>0</v>
      </c>
      <c r="G101">
        <v>344</v>
      </c>
      <c r="H101">
        <v>2.42652</v>
      </c>
      <c r="I101">
        <v>1.95</v>
      </c>
      <c r="J101">
        <v>1.1746099999999999</v>
      </c>
      <c r="K101">
        <v>60.622100000000003</v>
      </c>
      <c r="L101">
        <v>0.17849899999999999</v>
      </c>
      <c r="M101">
        <v>0.56699999999999995</v>
      </c>
      <c r="N101">
        <v>0.772675</v>
      </c>
      <c r="O101">
        <v>0.54900000000000004</v>
      </c>
      <c r="P101">
        <v>2.2999999999999998</v>
      </c>
      <c r="Q101">
        <v>-0.18342900000000001</v>
      </c>
    </row>
    <row r="102" spans="1:17" ht="13.9" x14ac:dyDescent="0.25">
      <c r="A102" s="156" t="s">
        <v>27</v>
      </c>
      <c r="B102" s="156" t="s">
        <v>156</v>
      </c>
      <c r="C102" s="156">
        <v>13099</v>
      </c>
      <c r="D102">
        <v>6166</v>
      </c>
      <c r="E102">
        <v>2813</v>
      </c>
      <c r="F102">
        <v>47</v>
      </c>
      <c r="G102">
        <v>3601</v>
      </c>
      <c r="H102">
        <v>2.19197</v>
      </c>
      <c r="I102">
        <v>1.95</v>
      </c>
      <c r="J102">
        <v>1.21017</v>
      </c>
      <c r="K102">
        <v>664.55600000000004</v>
      </c>
      <c r="L102">
        <v>0.19109899999999999</v>
      </c>
      <c r="M102">
        <v>0.56699999999999995</v>
      </c>
      <c r="N102">
        <v>0.772675</v>
      </c>
      <c r="O102">
        <v>0.54900000000000004</v>
      </c>
      <c r="P102">
        <v>2.2999999999999998</v>
      </c>
      <c r="Q102">
        <v>-0.131332</v>
      </c>
    </row>
    <row r="103" spans="1:17" ht="13.9" x14ac:dyDescent="0.25">
      <c r="A103" s="156" t="s">
        <v>27</v>
      </c>
      <c r="B103" s="156" t="s">
        <v>169</v>
      </c>
      <c r="C103" s="156">
        <v>5270</v>
      </c>
      <c r="D103">
        <v>13104</v>
      </c>
      <c r="E103">
        <v>5752</v>
      </c>
      <c r="F103">
        <v>261</v>
      </c>
      <c r="G103">
        <v>8034</v>
      </c>
      <c r="H103">
        <v>2.2781600000000002</v>
      </c>
      <c r="I103">
        <v>1.95</v>
      </c>
      <c r="J103">
        <v>1.15096</v>
      </c>
      <c r="K103">
        <v>1014.48</v>
      </c>
      <c r="L103">
        <v>0.14992800000000001</v>
      </c>
      <c r="M103">
        <v>0.56699999999999995</v>
      </c>
      <c r="N103">
        <v>0.772675</v>
      </c>
      <c r="O103">
        <v>0.54900000000000004</v>
      </c>
      <c r="P103">
        <v>2.2999999999999998</v>
      </c>
      <c r="Q103">
        <v>-0.40038299999999999</v>
      </c>
    </row>
    <row r="104" spans="1:17" ht="13.9" x14ac:dyDescent="0.25">
      <c r="A104" s="156" t="s">
        <v>27</v>
      </c>
      <c r="B104" s="156" t="s">
        <v>746</v>
      </c>
      <c r="C104" s="156">
        <v>12846</v>
      </c>
      <c r="D104">
        <v>695</v>
      </c>
      <c r="E104">
        <v>385</v>
      </c>
      <c r="F104">
        <v>0</v>
      </c>
      <c r="G104">
        <v>489</v>
      </c>
      <c r="H104">
        <v>1.8051900000000001</v>
      </c>
      <c r="I104">
        <v>1.95</v>
      </c>
      <c r="J104">
        <v>1.15096</v>
      </c>
      <c r="K104">
        <v>53.805500000000002</v>
      </c>
      <c r="L104">
        <v>0.122618</v>
      </c>
      <c r="M104">
        <v>0.56699999999999995</v>
      </c>
      <c r="N104">
        <v>0.772675</v>
      </c>
      <c r="O104">
        <v>0.54900000000000004</v>
      </c>
      <c r="P104">
        <v>2.2999999999999998</v>
      </c>
      <c r="Q104">
        <v>-0.33257599999999998</v>
      </c>
    </row>
    <row r="105" spans="1:17" ht="13.9" x14ac:dyDescent="0.25">
      <c r="A105" s="156" t="s">
        <v>38</v>
      </c>
      <c r="B105" s="156" t="s">
        <v>942</v>
      </c>
      <c r="C105" s="156">
        <v>8469</v>
      </c>
      <c r="D105">
        <v>151</v>
      </c>
      <c r="E105">
        <v>35</v>
      </c>
      <c r="F105">
        <v>0</v>
      </c>
      <c r="G105">
        <v>44</v>
      </c>
      <c r="H105">
        <v>4.3142899999999997</v>
      </c>
      <c r="I105">
        <v>1.95</v>
      </c>
      <c r="J105">
        <v>1.0667500000000001</v>
      </c>
      <c r="K105">
        <v>5.1686100000000001</v>
      </c>
      <c r="L105">
        <v>0.12867300000000001</v>
      </c>
      <c r="M105">
        <v>0.56699999999999995</v>
      </c>
      <c r="N105">
        <v>0.772675</v>
      </c>
      <c r="O105">
        <v>0.66900000000000004</v>
      </c>
      <c r="P105">
        <v>2.2999999999999998</v>
      </c>
      <c r="Q105">
        <v>-0.28109000000000001</v>
      </c>
    </row>
    <row r="106" spans="1:17" ht="13.9" x14ac:dyDescent="0.25">
      <c r="A106" s="156" t="s">
        <v>38</v>
      </c>
      <c r="B106" s="156" t="s">
        <v>905</v>
      </c>
      <c r="C106" s="156">
        <v>8986</v>
      </c>
      <c r="D106">
        <v>123</v>
      </c>
      <c r="E106">
        <v>42</v>
      </c>
      <c r="F106">
        <v>0</v>
      </c>
      <c r="G106">
        <v>43</v>
      </c>
      <c r="H106">
        <v>2.9285700000000001</v>
      </c>
      <c r="I106">
        <v>1.95</v>
      </c>
      <c r="J106">
        <v>1.07812</v>
      </c>
      <c r="K106">
        <v>4.9278199999999996</v>
      </c>
      <c r="L106">
        <v>0.10500900000000001</v>
      </c>
      <c r="M106">
        <v>0.56699999999999995</v>
      </c>
      <c r="N106">
        <v>0.772675</v>
      </c>
      <c r="O106">
        <v>0.66900000000000004</v>
      </c>
      <c r="P106">
        <v>2.2999999999999998</v>
      </c>
      <c r="Q106">
        <v>-2.26372E-2</v>
      </c>
    </row>
    <row r="107" spans="1:17" ht="13.9" x14ac:dyDescent="0.25">
      <c r="A107" s="156" t="s">
        <v>38</v>
      </c>
      <c r="B107" s="156" t="s">
        <v>855</v>
      </c>
      <c r="C107" s="156">
        <v>1169</v>
      </c>
      <c r="D107">
        <v>484</v>
      </c>
      <c r="E107">
        <v>139</v>
      </c>
      <c r="F107">
        <v>0</v>
      </c>
      <c r="G107">
        <v>155</v>
      </c>
      <c r="H107">
        <v>3.4820099999999998</v>
      </c>
      <c r="I107">
        <v>1.95</v>
      </c>
      <c r="J107">
        <v>1</v>
      </c>
      <c r="K107">
        <v>0</v>
      </c>
      <c r="L107">
        <v>0</v>
      </c>
      <c r="M107">
        <v>0.56699999999999995</v>
      </c>
      <c r="N107">
        <v>0.772675</v>
      </c>
      <c r="O107">
        <v>0.66900000000000004</v>
      </c>
      <c r="P107">
        <v>2.2999999999999998</v>
      </c>
      <c r="Q107">
        <v>-0.78223299999999996</v>
      </c>
    </row>
    <row r="108" spans="1:17" ht="13.9" x14ac:dyDescent="0.25">
      <c r="A108" s="156" t="s">
        <v>38</v>
      </c>
      <c r="B108" s="156" t="s">
        <v>18</v>
      </c>
      <c r="C108" s="156">
        <v>6879</v>
      </c>
      <c r="D108">
        <v>1679</v>
      </c>
      <c r="E108">
        <v>986</v>
      </c>
      <c r="F108">
        <v>50</v>
      </c>
      <c r="G108">
        <v>1228</v>
      </c>
      <c r="H108">
        <v>1.7028399999999999</v>
      </c>
      <c r="I108">
        <v>1.95</v>
      </c>
      <c r="J108">
        <v>1.0407599999999999</v>
      </c>
      <c r="K108">
        <v>35.095399999999998</v>
      </c>
      <c r="L108">
        <v>3.4370400000000002E-2</v>
      </c>
      <c r="M108">
        <v>0.56699999999999995</v>
      </c>
      <c r="N108">
        <v>0.772675</v>
      </c>
      <c r="O108">
        <v>0.66900000000000004</v>
      </c>
      <c r="P108">
        <v>2.2999999999999998</v>
      </c>
      <c r="Q108">
        <v>-0.30697400000000002</v>
      </c>
    </row>
    <row r="109" spans="1:17" ht="13.9" x14ac:dyDescent="0.25">
      <c r="A109" s="156" t="s">
        <v>38</v>
      </c>
      <c r="B109" s="156" t="s">
        <v>923</v>
      </c>
      <c r="C109" s="156">
        <v>2285</v>
      </c>
      <c r="D109">
        <v>1949</v>
      </c>
      <c r="E109">
        <v>631</v>
      </c>
      <c r="F109">
        <v>0</v>
      </c>
      <c r="G109">
        <v>673</v>
      </c>
      <c r="H109">
        <v>3.0887500000000001</v>
      </c>
      <c r="I109">
        <v>1.95</v>
      </c>
      <c r="J109">
        <v>1.0171600000000001</v>
      </c>
      <c r="K109">
        <v>17.1462</v>
      </c>
      <c r="L109">
        <v>2.6454200000000001E-2</v>
      </c>
      <c r="M109">
        <v>0.56699999999999995</v>
      </c>
      <c r="N109">
        <v>0.772675</v>
      </c>
      <c r="O109">
        <v>0.66900000000000004</v>
      </c>
      <c r="P109">
        <v>2.2999999999999998</v>
      </c>
      <c r="Q109">
        <v>-0.33400800000000003</v>
      </c>
    </row>
    <row r="110" spans="1:17" ht="13.9" x14ac:dyDescent="0.25">
      <c r="A110" s="156" t="s">
        <v>38</v>
      </c>
      <c r="B110" s="156" t="s">
        <v>863</v>
      </c>
      <c r="C110" s="156">
        <v>13063</v>
      </c>
      <c r="D110">
        <v>378</v>
      </c>
      <c r="E110">
        <v>257</v>
      </c>
      <c r="F110">
        <v>129</v>
      </c>
      <c r="G110">
        <v>294</v>
      </c>
      <c r="H110">
        <v>1.47082</v>
      </c>
      <c r="I110">
        <v>1.95</v>
      </c>
      <c r="J110">
        <v>1</v>
      </c>
      <c r="K110">
        <v>0</v>
      </c>
      <c r="L110">
        <v>0</v>
      </c>
      <c r="M110">
        <v>0.56699999999999995</v>
      </c>
      <c r="N110">
        <v>0.772675</v>
      </c>
      <c r="O110">
        <v>0.66900000000000004</v>
      </c>
      <c r="P110">
        <v>2.2999999999999998</v>
      </c>
      <c r="Q110">
        <v>0.45331500000000002</v>
      </c>
    </row>
    <row r="111" spans="1:17" ht="13.9" x14ac:dyDescent="0.25">
      <c r="A111" s="156" t="s">
        <v>38</v>
      </c>
      <c r="B111" s="156" t="s">
        <v>854</v>
      </c>
      <c r="C111" s="156">
        <v>245</v>
      </c>
      <c r="D111">
        <v>386</v>
      </c>
      <c r="E111">
        <v>228</v>
      </c>
      <c r="F111">
        <v>14</v>
      </c>
      <c r="G111">
        <v>374</v>
      </c>
      <c r="H111">
        <v>1.6929799999999999</v>
      </c>
      <c r="I111">
        <v>1.95</v>
      </c>
      <c r="J111">
        <v>1.11957</v>
      </c>
      <c r="K111">
        <v>23.6693</v>
      </c>
      <c r="L111">
        <v>9.4049300000000002E-2</v>
      </c>
      <c r="M111">
        <v>0.56699999999999995</v>
      </c>
      <c r="N111">
        <v>0.772675</v>
      </c>
      <c r="O111">
        <v>0.66900000000000004</v>
      </c>
      <c r="P111">
        <v>2.2999999999999998</v>
      </c>
      <c r="Q111">
        <v>1.9339599999999999</v>
      </c>
    </row>
    <row r="112" spans="1:17" ht="13.9" x14ac:dyDescent="0.25">
      <c r="A112" s="156" t="s">
        <v>38</v>
      </c>
      <c r="B112" s="156" t="s">
        <v>79</v>
      </c>
      <c r="C112" s="156">
        <v>1776</v>
      </c>
      <c r="D112">
        <v>46147</v>
      </c>
      <c r="E112">
        <v>16159</v>
      </c>
      <c r="F112">
        <v>596</v>
      </c>
      <c r="G112">
        <v>18102</v>
      </c>
      <c r="H112">
        <v>2.85581</v>
      </c>
      <c r="I112">
        <v>1.95</v>
      </c>
      <c r="J112">
        <v>1.0670999999999999</v>
      </c>
      <c r="K112">
        <v>1588.05</v>
      </c>
      <c r="L112">
        <v>8.9482400000000004E-2</v>
      </c>
      <c r="M112">
        <v>0.56699999999999995</v>
      </c>
      <c r="N112">
        <v>0.772675</v>
      </c>
      <c r="O112">
        <v>0.66900000000000004</v>
      </c>
      <c r="P112">
        <v>2.2999999999999998</v>
      </c>
      <c r="Q112">
        <v>6.1330099999999999E-2</v>
      </c>
    </row>
    <row r="113" spans="1:17" ht="13.9" x14ac:dyDescent="0.25">
      <c r="A113" s="156" t="s">
        <v>38</v>
      </c>
      <c r="B113" s="156" t="s">
        <v>86</v>
      </c>
      <c r="C113" s="156">
        <v>2062</v>
      </c>
      <c r="D113">
        <v>516038</v>
      </c>
      <c r="E113">
        <v>214039</v>
      </c>
      <c r="F113">
        <v>17054</v>
      </c>
      <c r="G113">
        <v>247292</v>
      </c>
      <c r="H113">
        <v>2.4109500000000001</v>
      </c>
      <c r="I113">
        <v>1.95</v>
      </c>
      <c r="J113">
        <v>1.0125</v>
      </c>
      <c r="K113">
        <v>3306.61</v>
      </c>
      <c r="L113">
        <v>1.5213600000000001E-2</v>
      </c>
      <c r="M113">
        <v>0.56699999999999995</v>
      </c>
      <c r="N113">
        <v>0.772675</v>
      </c>
      <c r="O113">
        <v>0.66900000000000004</v>
      </c>
      <c r="P113">
        <v>2.2999999999999998</v>
      </c>
      <c r="Q113">
        <v>0.73428800000000005</v>
      </c>
    </row>
    <row r="114" spans="1:17" ht="13.9" x14ac:dyDescent="0.25">
      <c r="A114" s="156" t="s">
        <v>38</v>
      </c>
      <c r="B114" s="156" t="s">
        <v>88</v>
      </c>
      <c r="C114" s="156">
        <v>450</v>
      </c>
      <c r="D114">
        <v>33469</v>
      </c>
      <c r="E114">
        <v>14123</v>
      </c>
      <c r="F114">
        <v>384</v>
      </c>
      <c r="G114">
        <v>15813</v>
      </c>
      <c r="H114">
        <v>2.3698199999999998</v>
      </c>
      <c r="I114">
        <v>1.95</v>
      </c>
      <c r="J114">
        <v>1.0128999999999999</v>
      </c>
      <c r="K114">
        <v>221.41</v>
      </c>
      <c r="L114">
        <v>1.5435300000000001E-2</v>
      </c>
      <c r="M114">
        <v>0.56699999999999995</v>
      </c>
      <c r="N114">
        <v>0.772675</v>
      </c>
      <c r="O114">
        <v>0.66900000000000004</v>
      </c>
      <c r="P114">
        <v>2.2999999999999998</v>
      </c>
      <c r="Q114">
        <v>-0.44248700000000002</v>
      </c>
    </row>
    <row r="115" spans="1:17" ht="13.9" x14ac:dyDescent="0.25">
      <c r="A115" s="156" t="s">
        <v>38</v>
      </c>
      <c r="B115" s="156" t="s">
        <v>862</v>
      </c>
      <c r="C115" s="156">
        <v>13004</v>
      </c>
      <c r="D115">
        <v>278</v>
      </c>
      <c r="E115">
        <v>128</v>
      </c>
      <c r="F115">
        <v>0</v>
      </c>
      <c r="G115">
        <v>137</v>
      </c>
      <c r="H115">
        <v>2.1718799999999998</v>
      </c>
      <c r="I115">
        <v>1.95</v>
      </c>
      <c r="J115">
        <v>1.0607500000000001</v>
      </c>
      <c r="K115">
        <v>8.6610499999999995</v>
      </c>
      <c r="L115">
        <v>6.3376199999999994E-2</v>
      </c>
      <c r="M115">
        <v>0.56699999999999995</v>
      </c>
      <c r="N115">
        <v>0.772675</v>
      </c>
      <c r="O115">
        <v>0.66900000000000004</v>
      </c>
      <c r="P115">
        <v>2.2999999999999998</v>
      </c>
      <c r="Q115">
        <v>0.116649</v>
      </c>
    </row>
    <row r="116" spans="1:17" ht="13.9" x14ac:dyDescent="0.25">
      <c r="A116" s="156" t="s">
        <v>38</v>
      </c>
      <c r="B116" s="156" t="s">
        <v>943</v>
      </c>
      <c r="C116" s="156">
        <v>10977</v>
      </c>
      <c r="D116">
        <v>22</v>
      </c>
      <c r="E116">
        <v>6</v>
      </c>
      <c r="F116">
        <v>31</v>
      </c>
      <c r="G116">
        <v>7</v>
      </c>
      <c r="H116">
        <v>3.6666699999999999</v>
      </c>
      <c r="I116">
        <v>1.95</v>
      </c>
      <c r="J116">
        <v>1.0667500000000001</v>
      </c>
      <c r="K116">
        <v>0.75304300000000002</v>
      </c>
      <c r="L116">
        <v>0.111512</v>
      </c>
      <c r="M116">
        <v>0.56699999999999995</v>
      </c>
      <c r="N116">
        <v>0.772675</v>
      </c>
      <c r="O116">
        <v>0.66900000000000004</v>
      </c>
      <c r="P116">
        <v>2.2999999999999998</v>
      </c>
      <c r="Q116">
        <v>-0.28109000000000001</v>
      </c>
    </row>
    <row r="117" spans="1:17" ht="13.9" x14ac:dyDescent="0.25">
      <c r="A117" s="156" t="s">
        <v>38</v>
      </c>
      <c r="B117" s="156" t="s">
        <v>861</v>
      </c>
      <c r="C117" s="156">
        <v>12621</v>
      </c>
      <c r="D117">
        <v>289</v>
      </c>
      <c r="E117">
        <v>151</v>
      </c>
      <c r="F117">
        <v>0</v>
      </c>
      <c r="G117">
        <v>257</v>
      </c>
      <c r="H117">
        <v>1.91391</v>
      </c>
      <c r="I117">
        <v>1.95</v>
      </c>
      <c r="J117">
        <v>1.11957</v>
      </c>
      <c r="K117">
        <v>17.721299999999999</v>
      </c>
      <c r="L117">
        <v>0.105033</v>
      </c>
      <c r="M117">
        <v>0.56699999999999995</v>
      </c>
      <c r="N117">
        <v>0.772675</v>
      </c>
      <c r="O117">
        <v>0.66900000000000004</v>
      </c>
      <c r="P117">
        <v>2.2999999999999998</v>
      </c>
      <c r="Q117">
        <v>-0.36208000000000001</v>
      </c>
    </row>
    <row r="118" spans="1:17" ht="13.9" x14ac:dyDescent="0.25">
      <c r="A118" s="156" t="s">
        <v>38</v>
      </c>
      <c r="B118" s="156" t="s">
        <v>113</v>
      </c>
      <c r="C118" s="156">
        <v>1787</v>
      </c>
      <c r="D118">
        <v>719</v>
      </c>
      <c r="E118">
        <v>278</v>
      </c>
      <c r="F118">
        <v>0</v>
      </c>
      <c r="G118">
        <v>302</v>
      </c>
      <c r="H118">
        <v>2.5863299999999998</v>
      </c>
      <c r="I118">
        <v>1.95</v>
      </c>
      <c r="J118">
        <v>1.0018499999999999</v>
      </c>
      <c r="K118">
        <v>0.68360299999999996</v>
      </c>
      <c r="L118">
        <v>2.4529700000000001E-3</v>
      </c>
      <c r="M118">
        <v>0.56699999999999995</v>
      </c>
      <c r="N118">
        <v>0.772675</v>
      </c>
      <c r="O118">
        <v>0.66900000000000004</v>
      </c>
      <c r="P118">
        <v>2.2999999999999998</v>
      </c>
      <c r="Q118">
        <v>-0.55100199999999999</v>
      </c>
    </row>
    <row r="119" spans="1:17" ht="13.9" x14ac:dyDescent="0.25">
      <c r="A119" s="156" t="s">
        <v>38</v>
      </c>
      <c r="B119" s="156" t="s">
        <v>113</v>
      </c>
      <c r="C119" s="156">
        <v>20141</v>
      </c>
      <c r="D119">
        <v>557268</v>
      </c>
      <c r="E119">
        <v>212664</v>
      </c>
      <c r="F119">
        <v>2506</v>
      </c>
      <c r="G119">
        <v>235105</v>
      </c>
      <c r="H119">
        <v>2.6204200000000002</v>
      </c>
      <c r="I119">
        <v>1.95</v>
      </c>
      <c r="J119">
        <v>1.02704</v>
      </c>
      <c r="K119">
        <v>7728.59</v>
      </c>
      <c r="L119">
        <v>3.5067399999999999E-2</v>
      </c>
      <c r="M119">
        <v>0.56699999999999995</v>
      </c>
      <c r="N119">
        <v>0.772675</v>
      </c>
      <c r="O119">
        <v>0.66900000000000004</v>
      </c>
      <c r="P119">
        <v>2.2999999999999998</v>
      </c>
      <c r="Q119">
        <v>-0.48954599999999998</v>
      </c>
    </row>
    <row r="120" spans="1:17" ht="13.9" x14ac:dyDescent="0.25">
      <c r="A120" s="156" t="s">
        <v>38</v>
      </c>
      <c r="B120" s="156" t="s">
        <v>944</v>
      </c>
      <c r="C120" s="156">
        <v>12513</v>
      </c>
      <c r="D120">
        <v>906</v>
      </c>
      <c r="E120">
        <v>493</v>
      </c>
      <c r="F120">
        <v>0</v>
      </c>
      <c r="G120">
        <v>580</v>
      </c>
      <c r="H120">
        <v>1.8377300000000001</v>
      </c>
      <c r="I120">
        <v>1.95</v>
      </c>
      <c r="J120">
        <v>1.10802</v>
      </c>
      <c r="K120">
        <v>50.188200000000002</v>
      </c>
      <c r="L120">
        <v>9.2395599999999994E-2</v>
      </c>
      <c r="M120">
        <v>0.56699999999999995</v>
      </c>
      <c r="N120">
        <v>0.772675</v>
      </c>
      <c r="O120">
        <v>0.66900000000000004</v>
      </c>
      <c r="P120">
        <v>2.2999999999999998</v>
      </c>
      <c r="Q120">
        <v>-0.21091799999999999</v>
      </c>
    </row>
    <row r="121" spans="1:17" ht="13.9" x14ac:dyDescent="0.25">
      <c r="A121" s="156" t="s">
        <v>38</v>
      </c>
      <c r="B121" s="156" t="s">
        <v>124</v>
      </c>
      <c r="C121" s="156">
        <v>2888</v>
      </c>
      <c r="D121">
        <v>216</v>
      </c>
      <c r="E121">
        <v>123</v>
      </c>
      <c r="F121">
        <v>0</v>
      </c>
      <c r="G121">
        <v>187</v>
      </c>
      <c r="H121">
        <v>1.7561</v>
      </c>
      <c r="I121">
        <v>1.95</v>
      </c>
      <c r="J121">
        <v>1.11957</v>
      </c>
      <c r="K121">
        <v>13.244999999999999</v>
      </c>
      <c r="L121">
        <v>9.7214599999999998E-2</v>
      </c>
      <c r="M121">
        <v>0.56699999999999995</v>
      </c>
      <c r="N121">
        <v>0.772675</v>
      </c>
      <c r="O121">
        <v>0.66900000000000004</v>
      </c>
      <c r="P121">
        <v>2.2999999999999998</v>
      </c>
      <c r="Q121">
        <v>1.9339599999999999</v>
      </c>
    </row>
    <row r="122" spans="1:17" ht="13.9" x14ac:dyDescent="0.25">
      <c r="A122" s="156" t="s">
        <v>38</v>
      </c>
      <c r="B122" s="156" t="s">
        <v>125</v>
      </c>
      <c r="C122" s="156">
        <v>7002</v>
      </c>
      <c r="D122">
        <v>954</v>
      </c>
      <c r="E122">
        <v>532</v>
      </c>
      <c r="F122">
        <v>0</v>
      </c>
      <c r="G122">
        <v>612</v>
      </c>
      <c r="H122">
        <v>1.7932300000000001</v>
      </c>
      <c r="I122">
        <v>1.95</v>
      </c>
      <c r="J122">
        <v>1.0343199999999999</v>
      </c>
      <c r="K122">
        <v>16.789899999999999</v>
      </c>
      <c r="L122">
        <v>3.0594400000000001E-2</v>
      </c>
      <c r="M122">
        <v>0.56699999999999995</v>
      </c>
      <c r="N122">
        <v>0.772675</v>
      </c>
      <c r="O122">
        <v>0.66900000000000004</v>
      </c>
      <c r="P122">
        <v>2.2999999999999998</v>
      </c>
      <c r="Q122">
        <v>-0.485595</v>
      </c>
    </row>
    <row r="123" spans="1:17" ht="13.9" x14ac:dyDescent="0.25">
      <c r="A123" s="156" t="s">
        <v>38</v>
      </c>
      <c r="B123" s="156" t="s">
        <v>860</v>
      </c>
      <c r="C123" s="156">
        <v>8579</v>
      </c>
      <c r="D123">
        <v>255</v>
      </c>
      <c r="E123">
        <v>148</v>
      </c>
      <c r="F123">
        <v>14</v>
      </c>
      <c r="G123">
        <v>228</v>
      </c>
      <c r="H123">
        <v>1.7229699999999999</v>
      </c>
      <c r="I123">
        <v>1.95</v>
      </c>
      <c r="J123">
        <v>1.11957</v>
      </c>
      <c r="K123">
        <v>15.6365</v>
      </c>
      <c r="L123">
        <v>9.5556100000000005E-2</v>
      </c>
      <c r="M123">
        <v>0.56699999999999995</v>
      </c>
      <c r="N123">
        <v>0.772675</v>
      </c>
      <c r="O123">
        <v>0.66900000000000004</v>
      </c>
      <c r="P123">
        <v>2.2999999999999998</v>
      </c>
      <c r="Q123">
        <v>1.9339599999999999</v>
      </c>
    </row>
    <row r="124" spans="1:17" ht="13.9" x14ac:dyDescent="0.25">
      <c r="A124" s="156" t="s">
        <v>38</v>
      </c>
      <c r="B124" s="156" t="s">
        <v>853</v>
      </c>
      <c r="C124" s="156">
        <v>1</v>
      </c>
      <c r="D124">
        <v>720</v>
      </c>
      <c r="E124">
        <v>233</v>
      </c>
      <c r="F124">
        <v>0</v>
      </c>
      <c r="G124">
        <v>237</v>
      </c>
      <c r="H124">
        <v>3.0901299999999998</v>
      </c>
      <c r="I124">
        <v>1.95</v>
      </c>
      <c r="J124">
        <v>1.11957</v>
      </c>
      <c r="K124">
        <v>44.15</v>
      </c>
      <c r="L124">
        <v>0.1593</v>
      </c>
      <c r="M124">
        <v>0.56699999999999995</v>
      </c>
      <c r="N124">
        <v>0.772675</v>
      </c>
      <c r="O124">
        <v>0.66900000000000004</v>
      </c>
      <c r="P124">
        <v>2.2999999999999998</v>
      </c>
      <c r="Q124">
        <v>-0.53634199999999999</v>
      </c>
    </row>
    <row r="125" spans="1:17" ht="13.9" x14ac:dyDescent="0.25">
      <c r="A125" s="156" t="s">
        <v>38</v>
      </c>
      <c r="B125" s="156" t="s">
        <v>858</v>
      </c>
      <c r="C125" s="156">
        <v>7153</v>
      </c>
      <c r="D125">
        <v>847</v>
      </c>
      <c r="E125">
        <v>260</v>
      </c>
      <c r="F125">
        <v>0</v>
      </c>
      <c r="G125">
        <v>284</v>
      </c>
      <c r="H125">
        <v>3.2576900000000002</v>
      </c>
      <c r="I125">
        <v>1.95</v>
      </c>
      <c r="J125">
        <v>1.07812</v>
      </c>
      <c r="K125">
        <v>33.933900000000001</v>
      </c>
      <c r="L125">
        <v>0.11544699999999999</v>
      </c>
      <c r="M125">
        <v>0.56699999999999995</v>
      </c>
      <c r="N125">
        <v>0.772675</v>
      </c>
      <c r="O125">
        <v>0.66900000000000004</v>
      </c>
      <c r="P125">
        <v>2.2999999999999998</v>
      </c>
      <c r="Q125">
        <v>-8.3018900000000007E-2</v>
      </c>
    </row>
    <row r="126" spans="1:17" ht="13.9" x14ac:dyDescent="0.25">
      <c r="A126" s="156" t="s">
        <v>38</v>
      </c>
      <c r="B126" s="156" t="s">
        <v>924</v>
      </c>
      <c r="C126" s="156">
        <v>3926</v>
      </c>
      <c r="D126">
        <v>1223</v>
      </c>
      <c r="E126">
        <v>367</v>
      </c>
      <c r="F126">
        <v>0</v>
      </c>
      <c r="G126">
        <v>400</v>
      </c>
      <c r="H126">
        <v>3.33243</v>
      </c>
      <c r="I126">
        <v>1.95</v>
      </c>
      <c r="J126">
        <v>1.0586599999999999</v>
      </c>
      <c r="K126">
        <v>36.792900000000003</v>
      </c>
      <c r="L126">
        <v>9.1118199999999996E-2</v>
      </c>
      <c r="M126">
        <v>0.56699999999999995</v>
      </c>
      <c r="N126">
        <v>0.772675</v>
      </c>
      <c r="O126">
        <v>0.66900000000000004</v>
      </c>
      <c r="P126">
        <v>2.2999999999999998</v>
      </c>
      <c r="Q126">
        <v>0.36367699999999997</v>
      </c>
    </row>
    <row r="127" spans="1:17" ht="13.9" x14ac:dyDescent="0.25">
      <c r="A127" s="156" t="s">
        <v>38</v>
      </c>
      <c r="B127" s="156" t="s">
        <v>140</v>
      </c>
      <c r="C127" s="156">
        <v>12994</v>
      </c>
      <c r="D127">
        <v>5609</v>
      </c>
      <c r="E127">
        <v>2178</v>
      </c>
      <c r="F127">
        <v>0</v>
      </c>
      <c r="G127">
        <v>2339</v>
      </c>
      <c r="H127">
        <v>2.5752999999999999</v>
      </c>
      <c r="I127">
        <v>1.95</v>
      </c>
      <c r="J127">
        <v>1.00326</v>
      </c>
      <c r="K127">
        <v>9.3771000000000004</v>
      </c>
      <c r="L127">
        <v>4.2869099999999997E-3</v>
      </c>
      <c r="M127">
        <v>0.56699999999999995</v>
      </c>
      <c r="N127">
        <v>0.772675</v>
      </c>
      <c r="O127">
        <v>0.66900000000000004</v>
      </c>
      <c r="P127">
        <v>2.2999999999999998</v>
      </c>
      <c r="Q127">
        <v>-0.53489799999999998</v>
      </c>
    </row>
    <row r="128" spans="1:17" ht="13.9" x14ac:dyDescent="0.25">
      <c r="A128" s="156" t="s">
        <v>38</v>
      </c>
      <c r="B128" s="156" t="s">
        <v>857</v>
      </c>
      <c r="C128" s="156">
        <v>6542</v>
      </c>
      <c r="D128">
        <v>143</v>
      </c>
      <c r="E128">
        <v>63</v>
      </c>
      <c r="F128">
        <v>0</v>
      </c>
      <c r="G128">
        <v>76</v>
      </c>
      <c r="H128">
        <v>2.2698399999999999</v>
      </c>
      <c r="I128">
        <v>1.95</v>
      </c>
      <c r="J128">
        <v>1.0607500000000001</v>
      </c>
      <c r="K128">
        <v>4.4551499999999997</v>
      </c>
      <c r="L128">
        <v>6.6046099999999996E-2</v>
      </c>
      <c r="M128">
        <v>0.56699999999999995</v>
      </c>
      <c r="N128">
        <v>0.772675</v>
      </c>
      <c r="O128">
        <v>0.66900000000000004</v>
      </c>
      <c r="P128">
        <v>2.2999999999999998</v>
      </c>
      <c r="Q128">
        <v>-1.3829800000000001</v>
      </c>
    </row>
    <row r="129" spans="1:17" ht="13.9" x14ac:dyDescent="0.25">
      <c r="A129" s="156" t="s">
        <v>38</v>
      </c>
      <c r="B129" s="156" t="s">
        <v>143</v>
      </c>
      <c r="C129" s="156">
        <v>7637</v>
      </c>
      <c r="D129">
        <v>1118</v>
      </c>
      <c r="E129">
        <v>539</v>
      </c>
      <c r="F129">
        <v>0</v>
      </c>
      <c r="G129">
        <v>694</v>
      </c>
      <c r="H129">
        <v>2.0742099999999999</v>
      </c>
      <c r="I129">
        <v>1.95</v>
      </c>
      <c r="J129">
        <v>1.11957</v>
      </c>
      <c r="K129">
        <v>68.555199999999999</v>
      </c>
      <c r="L129">
        <v>0.11283799999999999</v>
      </c>
      <c r="M129">
        <v>0.56699999999999995</v>
      </c>
      <c r="N129">
        <v>0.772675</v>
      </c>
      <c r="O129">
        <v>0.66900000000000004</v>
      </c>
      <c r="P129">
        <v>2.2999999999999998</v>
      </c>
      <c r="Q129">
        <v>-0.36208000000000001</v>
      </c>
    </row>
    <row r="130" spans="1:17" ht="13.9" x14ac:dyDescent="0.25">
      <c r="A130" s="156" t="s">
        <v>38</v>
      </c>
      <c r="B130" s="156" t="s">
        <v>864</v>
      </c>
      <c r="C130" s="156">
        <v>6230</v>
      </c>
      <c r="D130">
        <v>835</v>
      </c>
      <c r="E130">
        <v>420</v>
      </c>
      <c r="F130">
        <v>0</v>
      </c>
      <c r="G130">
        <v>855</v>
      </c>
      <c r="H130">
        <v>1.9881</v>
      </c>
      <c r="I130">
        <v>1.95</v>
      </c>
      <c r="J130">
        <v>1.4805299999999999</v>
      </c>
      <c r="K130">
        <v>205.76499999999999</v>
      </c>
      <c r="L130">
        <v>0.32882099999999997</v>
      </c>
      <c r="M130">
        <v>0.56699999999999995</v>
      </c>
      <c r="N130">
        <v>0.772675</v>
      </c>
      <c r="O130">
        <v>0.66900000000000004</v>
      </c>
      <c r="P130">
        <v>2.2999999999999998</v>
      </c>
      <c r="Q130">
        <v>0</v>
      </c>
    </row>
    <row r="131" spans="1:17" ht="13.9" x14ac:dyDescent="0.25">
      <c r="A131" s="156" t="s">
        <v>38</v>
      </c>
      <c r="B131" s="156" t="s">
        <v>859</v>
      </c>
      <c r="C131" s="156">
        <v>7643</v>
      </c>
      <c r="D131">
        <v>228</v>
      </c>
      <c r="E131">
        <v>112</v>
      </c>
      <c r="F131">
        <v>0</v>
      </c>
      <c r="G131">
        <v>196</v>
      </c>
      <c r="H131">
        <v>2.0357099999999999</v>
      </c>
      <c r="I131">
        <v>1.95</v>
      </c>
      <c r="J131">
        <v>1.0607500000000001</v>
      </c>
      <c r="K131">
        <v>7.1033099999999996</v>
      </c>
      <c r="L131">
        <v>5.9639900000000003E-2</v>
      </c>
      <c r="M131">
        <v>0.56699999999999995</v>
      </c>
      <c r="N131">
        <v>0.772675</v>
      </c>
      <c r="O131">
        <v>0.66900000000000004</v>
      </c>
      <c r="P131">
        <v>2.2999999999999998</v>
      </c>
      <c r="Q131">
        <v>-0.13513500000000001</v>
      </c>
    </row>
    <row r="132" spans="1:17" ht="13.9" x14ac:dyDescent="0.25">
      <c r="A132" s="156" t="s">
        <v>38</v>
      </c>
      <c r="B132" s="156" t="s">
        <v>856</v>
      </c>
      <c r="C132" s="156">
        <v>2955</v>
      </c>
      <c r="D132">
        <v>341</v>
      </c>
      <c r="E132">
        <v>202</v>
      </c>
      <c r="F132">
        <v>0</v>
      </c>
      <c r="G132">
        <v>271</v>
      </c>
      <c r="H132">
        <v>1.6881200000000001</v>
      </c>
      <c r="I132">
        <v>1.95</v>
      </c>
      <c r="J132">
        <v>1.0607500000000001</v>
      </c>
      <c r="K132">
        <v>10.623799999999999</v>
      </c>
      <c r="L132">
        <v>4.9965299999999997E-2</v>
      </c>
      <c r="M132">
        <v>0.56699999999999995</v>
      </c>
      <c r="N132">
        <v>0.772675</v>
      </c>
      <c r="O132">
        <v>0.66900000000000004</v>
      </c>
      <c r="P132">
        <v>2.2999999999999998</v>
      </c>
      <c r="Q132">
        <v>-0.13513500000000001</v>
      </c>
    </row>
    <row r="133" spans="1:17" ht="13.9" x14ac:dyDescent="0.25">
      <c r="A133" s="156" t="s">
        <v>38</v>
      </c>
      <c r="B133" s="156" t="s">
        <v>901</v>
      </c>
      <c r="C133" s="156">
        <v>10543</v>
      </c>
      <c r="D133">
        <v>940</v>
      </c>
      <c r="E133">
        <v>300</v>
      </c>
      <c r="F133">
        <v>0</v>
      </c>
      <c r="G133">
        <v>342</v>
      </c>
      <c r="H133">
        <v>3.1333299999999999</v>
      </c>
      <c r="I133">
        <v>1.95</v>
      </c>
      <c r="J133">
        <v>1.0586599999999999</v>
      </c>
      <c r="K133">
        <v>28.2791</v>
      </c>
      <c r="L133">
        <v>8.6143399999999995E-2</v>
      </c>
      <c r="M133">
        <v>0.56699999999999995</v>
      </c>
      <c r="N133">
        <v>0.772675</v>
      </c>
      <c r="O133">
        <v>0.66900000000000004</v>
      </c>
      <c r="P133">
        <v>2.2999999999999998</v>
      </c>
      <c r="Q133">
        <v>0.36367699999999997</v>
      </c>
    </row>
    <row r="134" spans="1:17" ht="13.9" x14ac:dyDescent="0.25">
      <c r="A134" s="156" t="s">
        <v>38</v>
      </c>
      <c r="B134" s="156" t="s">
        <v>900</v>
      </c>
      <c r="C134" s="156">
        <v>8788</v>
      </c>
      <c r="D134">
        <v>759</v>
      </c>
      <c r="E134">
        <v>278</v>
      </c>
      <c r="F134">
        <v>0</v>
      </c>
      <c r="G134">
        <v>298</v>
      </c>
      <c r="H134">
        <v>2.7302200000000001</v>
      </c>
      <c r="I134">
        <v>1.95</v>
      </c>
      <c r="J134">
        <v>1.0018499999999999</v>
      </c>
      <c r="K134">
        <v>0.721634</v>
      </c>
      <c r="L134">
        <v>2.5890800000000001E-3</v>
      </c>
      <c r="M134">
        <v>0.56699999999999995</v>
      </c>
      <c r="N134">
        <v>0.772675</v>
      </c>
      <c r="O134">
        <v>0.66900000000000004</v>
      </c>
      <c r="P134">
        <v>2.2999999999999998</v>
      </c>
      <c r="Q134">
        <v>-0.55100199999999999</v>
      </c>
    </row>
    <row r="135" spans="1:17" ht="13.9" x14ac:dyDescent="0.25">
      <c r="A135" s="156" t="s">
        <v>38</v>
      </c>
      <c r="B135" s="156" t="s">
        <v>925</v>
      </c>
      <c r="C135" s="156">
        <v>3752</v>
      </c>
      <c r="D135">
        <v>65</v>
      </c>
      <c r="E135">
        <v>25</v>
      </c>
      <c r="F135">
        <v>0</v>
      </c>
      <c r="G135">
        <v>44</v>
      </c>
      <c r="H135">
        <v>2.6</v>
      </c>
      <c r="I135">
        <v>1.95</v>
      </c>
      <c r="J135">
        <v>1.0607500000000001</v>
      </c>
      <c r="K135">
        <v>2.0250699999999999</v>
      </c>
      <c r="L135">
        <v>7.4932899999999997E-2</v>
      </c>
      <c r="M135">
        <v>0.56699999999999995</v>
      </c>
      <c r="N135">
        <v>0.772675</v>
      </c>
      <c r="O135">
        <v>0.66900000000000004</v>
      </c>
      <c r="P135">
        <v>2.2999999999999998</v>
      </c>
      <c r="Q135">
        <v>-0.81032400000000004</v>
      </c>
    </row>
    <row r="136" spans="1:17" ht="13.9" x14ac:dyDescent="0.25">
      <c r="A136" s="156" t="s">
        <v>38</v>
      </c>
      <c r="B136" s="156" t="s">
        <v>172</v>
      </c>
      <c r="C136" s="156">
        <v>7790</v>
      </c>
      <c r="D136">
        <v>1642</v>
      </c>
      <c r="E136">
        <v>605</v>
      </c>
      <c r="F136">
        <v>6</v>
      </c>
      <c r="G136">
        <v>686</v>
      </c>
      <c r="H136">
        <v>2.7140499999999999</v>
      </c>
      <c r="I136">
        <v>1.95</v>
      </c>
      <c r="J136">
        <v>1.0171600000000001</v>
      </c>
      <c r="K136">
        <v>14.445399999999999</v>
      </c>
      <c r="L136">
        <v>2.3319900000000001E-2</v>
      </c>
      <c r="M136">
        <v>0.56699999999999995</v>
      </c>
      <c r="N136">
        <v>0.772675</v>
      </c>
      <c r="O136">
        <v>0.66900000000000004</v>
      </c>
      <c r="P136">
        <v>2.2999999999999998</v>
      </c>
      <c r="Q136">
        <v>4.7104200000000001</v>
      </c>
    </row>
    <row r="137" spans="1:17" ht="13.9" x14ac:dyDescent="0.25">
      <c r="A137" s="156" t="s">
        <v>38</v>
      </c>
      <c r="B137" s="156" t="s">
        <v>902</v>
      </c>
      <c r="C137" s="156">
        <v>10986</v>
      </c>
      <c r="D137">
        <v>471</v>
      </c>
      <c r="E137">
        <v>246</v>
      </c>
      <c r="F137">
        <v>0</v>
      </c>
      <c r="G137">
        <v>303</v>
      </c>
      <c r="H137">
        <v>1.9146300000000001</v>
      </c>
      <c r="I137">
        <v>1.95</v>
      </c>
      <c r="J137">
        <v>1.0028900000000001</v>
      </c>
      <c r="K137">
        <v>0.69708000000000003</v>
      </c>
      <c r="L137">
        <v>2.8256499999999999E-3</v>
      </c>
      <c r="M137">
        <v>0.56699999999999995</v>
      </c>
      <c r="N137">
        <v>0.772675</v>
      </c>
      <c r="O137">
        <v>0.66900000000000004</v>
      </c>
      <c r="P137">
        <v>2.2999999999999998</v>
      </c>
      <c r="Q137">
        <v>-3.7748799999999999E-2</v>
      </c>
    </row>
    <row r="138" spans="1:17" ht="13.9" x14ac:dyDescent="0.25">
      <c r="A138" s="156" t="s">
        <v>38</v>
      </c>
      <c r="B138" s="156" t="s">
        <v>482</v>
      </c>
      <c r="C138" s="156">
        <v>2707</v>
      </c>
      <c r="D138">
        <v>2613</v>
      </c>
      <c r="E138">
        <v>942</v>
      </c>
      <c r="F138">
        <v>13</v>
      </c>
      <c r="G138">
        <v>1047</v>
      </c>
      <c r="H138">
        <v>2.7738900000000002</v>
      </c>
      <c r="I138">
        <v>1.95</v>
      </c>
      <c r="J138">
        <v>1.01139</v>
      </c>
      <c r="K138">
        <v>15.2613</v>
      </c>
      <c r="L138">
        <v>1.5942600000000001E-2</v>
      </c>
      <c r="M138">
        <v>0.56699999999999995</v>
      </c>
      <c r="N138">
        <v>0.772675</v>
      </c>
      <c r="O138">
        <v>0.66900000000000004</v>
      </c>
      <c r="P138">
        <v>2.2999999999999998</v>
      </c>
      <c r="Q138">
        <v>5.2785900000000003</v>
      </c>
    </row>
    <row r="139" spans="1:17" ht="13.9" x14ac:dyDescent="0.25">
      <c r="A139" s="156" t="s">
        <v>38</v>
      </c>
      <c r="B139" s="156" t="s">
        <v>176</v>
      </c>
      <c r="C139" s="156">
        <v>4757</v>
      </c>
      <c r="D139">
        <v>50</v>
      </c>
      <c r="E139">
        <v>33</v>
      </c>
      <c r="F139">
        <v>0</v>
      </c>
      <c r="G139">
        <v>39</v>
      </c>
      <c r="H139">
        <v>1.51515</v>
      </c>
      <c r="I139">
        <v>1.95</v>
      </c>
      <c r="J139">
        <v>1.11957</v>
      </c>
      <c r="K139">
        <v>3.0659700000000001</v>
      </c>
      <c r="L139">
        <v>8.5010199999999994E-2</v>
      </c>
      <c r="M139">
        <v>0.56699999999999995</v>
      </c>
      <c r="N139">
        <v>0.772675</v>
      </c>
      <c r="O139">
        <v>0.66900000000000004</v>
      </c>
      <c r="P139">
        <v>2.2999999999999998</v>
      </c>
      <c r="Q139">
        <v>1.9339599999999999</v>
      </c>
    </row>
    <row r="140" spans="1:17" ht="13.9" x14ac:dyDescent="0.25">
      <c r="A140" s="156" t="s">
        <v>38</v>
      </c>
      <c r="B140" s="156" t="s">
        <v>8</v>
      </c>
      <c r="C140" s="156">
        <v>10443</v>
      </c>
      <c r="D140">
        <v>5010</v>
      </c>
      <c r="E140">
        <v>1857</v>
      </c>
      <c r="F140">
        <v>44</v>
      </c>
      <c r="G140">
        <v>1966</v>
      </c>
      <c r="H140">
        <v>2.6979000000000002</v>
      </c>
      <c r="I140">
        <v>1.95</v>
      </c>
      <c r="J140">
        <v>1.0022800000000001</v>
      </c>
      <c r="K140">
        <v>5.8706899999999997</v>
      </c>
      <c r="L140">
        <v>3.1514199999999998E-3</v>
      </c>
      <c r="M140">
        <v>0.56699999999999995</v>
      </c>
      <c r="N140">
        <v>0.772675</v>
      </c>
      <c r="O140">
        <v>0.66900000000000004</v>
      </c>
      <c r="P140">
        <v>2.2999999999999998</v>
      </c>
      <c r="Q140">
        <v>-0.83674499999999996</v>
      </c>
    </row>
    <row r="141" spans="1:17" ht="13.9" x14ac:dyDescent="0.25">
      <c r="A141" s="156" t="s">
        <v>38</v>
      </c>
      <c r="B141" s="156" t="s">
        <v>899</v>
      </c>
      <c r="C141" s="156">
        <v>435</v>
      </c>
      <c r="D141">
        <v>1252</v>
      </c>
      <c r="E141">
        <v>654</v>
      </c>
      <c r="F141">
        <v>0</v>
      </c>
      <c r="G141">
        <v>728</v>
      </c>
      <c r="H141">
        <v>1.9143699999999999</v>
      </c>
      <c r="I141">
        <v>1.95</v>
      </c>
      <c r="J141">
        <v>1.0028900000000001</v>
      </c>
      <c r="K141">
        <v>1.8529599999999999</v>
      </c>
      <c r="L141">
        <v>2.82527E-3</v>
      </c>
      <c r="M141">
        <v>0.56699999999999995</v>
      </c>
      <c r="N141">
        <v>0.772675</v>
      </c>
      <c r="O141">
        <v>0.66900000000000004</v>
      </c>
      <c r="P141">
        <v>2.2999999999999998</v>
      </c>
      <c r="Q141">
        <v>-0.73754500000000001</v>
      </c>
    </row>
    <row r="142" spans="1:17" ht="13.9" x14ac:dyDescent="0.25">
      <c r="A142" s="156" t="s">
        <v>951</v>
      </c>
      <c r="B142" s="156" t="s">
        <v>947</v>
      </c>
      <c r="C142" s="156">
        <v>20901</v>
      </c>
      <c r="D142">
        <v>5</v>
      </c>
      <c r="E142">
        <v>2</v>
      </c>
      <c r="F142">
        <v>0</v>
      </c>
      <c r="G142">
        <v>2</v>
      </c>
      <c r="H142">
        <v>2.5</v>
      </c>
      <c r="I142">
        <v>1.95</v>
      </c>
      <c r="J142">
        <v>1.0404899999999999</v>
      </c>
      <c r="K142">
        <v>0.10383299999999999</v>
      </c>
      <c r="L142">
        <v>4.9354299999999997E-2</v>
      </c>
      <c r="M142">
        <v>0.56699999999999995</v>
      </c>
      <c r="N142">
        <v>0.772675</v>
      </c>
      <c r="O142">
        <v>0.66700000000000004</v>
      </c>
      <c r="P142">
        <v>2.2999999999999998</v>
      </c>
      <c r="Q142">
        <v>-0.61822200000000005</v>
      </c>
    </row>
    <row r="143" spans="1:17" ht="13.9" x14ac:dyDescent="0.25">
      <c r="A143" s="156" t="s">
        <v>28</v>
      </c>
      <c r="B143" s="156" t="s">
        <v>93</v>
      </c>
      <c r="C143" s="156">
        <v>5640</v>
      </c>
      <c r="D143">
        <v>5257</v>
      </c>
      <c r="E143">
        <v>2048</v>
      </c>
      <c r="F143">
        <v>165</v>
      </c>
      <c r="G143">
        <v>2304</v>
      </c>
      <c r="H143">
        <v>2.5668899999999999</v>
      </c>
      <c r="I143">
        <v>1.95</v>
      </c>
      <c r="J143">
        <v>1.0198199999999999</v>
      </c>
      <c r="K143">
        <v>53.43</v>
      </c>
      <c r="L143">
        <v>2.54255E-2</v>
      </c>
      <c r="M143">
        <v>0.56699999999999995</v>
      </c>
      <c r="N143">
        <v>0.772675</v>
      </c>
      <c r="O143">
        <v>0.66500000000000004</v>
      </c>
      <c r="P143">
        <v>2.2999999999999998</v>
      </c>
      <c r="Q143">
        <v>-0.31641999999999998</v>
      </c>
    </row>
    <row r="144" spans="1:17" ht="13.9" x14ac:dyDescent="0.25">
      <c r="A144" s="156" t="s">
        <v>28</v>
      </c>
      <c r="B144" s="156" t="s">
        <v>131</v>
      </c>
      <c r="C144" s="156">
        <v>7825</v>
      </c>
      <c r="D144">
        <v>66</v>
      </c>
      <c r="E144">
        <v>35</v>
      </c>
      <c r="F144">
        <v>0</v>
      </c>
      <c r="G144">
        <v>40</v>
      </c>
      <c r="H144">
        <v>1.88571</v>
      </c>
      <c r="I144">
        <v>1.95</v>
      </c>
      <c r="J144">
        <v>1.0198199999999999</v>
      </c>
      <c r="K144">
        <v>0.67079699999999998</v>
      </c>
      <c r="L144">
        <v>1.8805200000000001E-2</v>
      </c>
      <c r="M144">
        <v>0.56699999999999995</v>
      </c>
      <c r="N144">
        <v>0.772675</v>
      </c>
      <c r="O144">
        <v>0.66500000000000004</v>
      </c>
      <c r="P144">
        <v>2.2999999999999998</v>
      </c>
      <c r="Q144">
        <v>-0.74034</v>
      </c>
    </row>
    <row r="145" spans="1:17" ht="13.9" x14ac:dyDescent="0.25">
      <c r="A145" s="156" t="s">
        <v>28</v>
      </c>
      <c r="B145" s="156" t="s">
        <v>167</v>
      </c>
      <c r="C145" s="156">
        <v>8953</v>
      </c>
      <c r="D145">
        <v>1508</v>
      </c>
      <c r="E145">
        <v>708</v>
      </c>
      <c r="F145">
        <v>43</v>
      </c>
      <c r="G145">
        <v>940</v>
      </c>
      <c r="H145">
        <v>2.1299399999999999</v>
      </c>
      <c r="I145">
        <v>1.95</v>
      </c>
      <c r="J145">
        <v>1.2608299999999999</v>
      </c>
      <c r="K145">
        <v>201.70699999999999</v>
      </c>
      <c r="L145">
        <v>0.22172700000000001</v>
      </c>
      <c r="M145">
        <v>0.56699999999999995</v>
      </c>
      <c r="N145">
        <v>0.772675</v>
      </c>
      <c r="O145">
        <v>0.66500000000000004</v>
      </c>
      <c r="P145">
        <v>2.2999999999999998</v>
      </c>
      <c r="Q145">
        <v>-0.45571800000000001</v>
      </c>
    </row>
    <row r="146" spans="1:17" ht="13.9" x14ac:dyDescent="0.25">
      <c r="A146" s="156" t="s">
        <v>28</v>
      </c>
      <c r="B146" s="156" t="s">
        <v>171</v>
      </c>
      <c r="C146" s="156">
        <v>7755</v>
      </c>
      <c r="D146">
        <v>676</v>
      </c>
      <c r="E146">
        <v>329</v>
      </c>
      <c r="F146">
        <v>0</v>
      </c>
      <c r="G146">
        <v>586</v>
      </c>
      <c r="H146">
        <v>2.05471</v>
      </c>
      <c r="I146">
        <v>1.95</v>
      </c>
      <c r="J146">
        <v>1.08744</v>
      </c>
      <c r="K146">
        <v>30.312899999999999</v>
      </c>
      <c r="L146">
        <v>8.4363499999999994E-2</v>
      </c>
      <c r="M146">
        <v>0.56699999999999995</v>
      </c>
      <c r="N146">
        <v>0.772675</v>
      </c>
      <c r="O146">
        <v>0.66500000000000004</v>
      </c>
      <c r="P146">
        <v>2.2999999999999998</v>
      </c>
      <c r="Q146">
        <v>-0.45571800000000001</v>
      </c>
    </row>
    <row r="147" spans="1:17" ht="13.9" x14ac:dyDescent="0.25">
      <c r="A147" s="156" t="s">
        <v>29</v>
      </c>
      <c r="B147" s="156" t="s">
        <v>717</v>
      </c>
      <c r="C147" s="156">
        <v>1156</v>
      </c>
      <c r="D147">
        <v>9254</v>
      </c>
      <c r="E147">
        <v>5308</v>
      </c>
      <c r="F147">
        <v>31</v>
      </c>
      <c r="G147">
        <v>5998</v>
      </c>
      <c r="H147">
        <v>1.7434099999999999</v>
      </c>
      <c r="I147">
        <v>1.95</v>
      </c>
      <c r="J147">
        <v>1.0255799999999999</v>
      </c>
      <c r="K147">
        <v>121.393</v>
      </c>
      <c r="L147">
        <v>2.2358599999999999E-2</v>
      </c>
      <c r="M147">
        <v>0.56699999999999995</v>
      </c>
      <c r="N147">
        <v>0.772675</v>
      </c>
      <c r="O147">
        <v>0.66500000000000004</v>
      </c>
      <c r="P147">
        <v>2.2999999999999998</v>
      </c>
      <c r="Q147">
        <v>3.1753799999999999E-2</v>
      </c>
    </row>
    <row r="148" spans="1:17" ht="13.9" x14ac:dyDescent="0.25">
      <c r="A148" s="156" t="s">
        <v>29</v>
      </c>
      <c r="B148" s="156" t="s">
        <v>47</v>
      </c>
      <c r="C148" s="156">
        <v>8005</v>
      </c>
      <c r="D148">
        <v>730</v>
      </c>
      <c r="E148">
        <v>444</v>
      </c>
      <c r="F148">
        <v>0</v>
      </c>
      <c r="G148">
        <v>513</v>
      </c>
      <c r="H148">
        <v>1.6441399999999999</v>
      </c>
      <c r="I148">
        <v>1.95</v>
      </c>
      <c r="J148">
        <v>1.01396</v>
      </c>
      <c r="K148">
        <v>5.2275499999999999</v>
      </c>
      <c r="L148">
        <v>1.1636799999999999E-2</v>
      </c>
      <c r="M148">
        <v>0.56699999999999995</v>
      </c>
      <c r="N148">
        <v>0.772675</v>
      </c>
      <c r="O148">
        <v>0.66500000000000004</v>
      </c>
      <c r="P148">
        <v>2.2999999999999998</v>
      </c>
      <c r="Q148">
        <v>0.10650999999999999</v>
      </c>
    </row>
    <row r="149" spans="1:17" ht="13.9" x14ac:dyDescent="0.25">
      <c r="A149" s="156" t="s">
        <v>29</v>
      </c>
      <c r="B149" s="156" t="s">
        <v>68</v>
      </c>
      <c r="C149" s="156">
        <v>8339</v>
      </c>
      <c r="D149">
        <v>7467</v>
      </c>
      <c r="E149">
        <v>3639</v>
      </c>
      <c r="F149">
        <v>0</v>
      </c>
      <c r="G149">
        <v>4563</v>
      </c>
      <c r="H149">
        <v>2.0519400000000001</v>
      </c>
      <c r="I149">
        <v>1.95</v>
      </c>
      <c r="J149">
        <v>1.0341100000000001</v>
      </c>
      <c r="K149">
        <v>130.62700000000001</v>
      </c>
      <c r="L149">
        <v>3.46524E-2</v>
      </c>
      <c r="M149">
        <v>0.56699999999999995</v>
      </c>
      <c r="N149">
        <v>0.772675</v>
      </c>
      <c r="O149">
        <v>0.66500000000000004</v>
      </c>
      <c r="P149">
        <v>2.2999999999999998</v>
      </c>
      <c r="Q149">
        <v>0.21192900000000001</v>
      </c>
    </row>
    <row r="150" spans="1:17" ht="13.9" x14ac:dyDescent="0.25">
      <c r="A150" s="156" t="s">
        <v>29</v>
      </c>
      <c r="B150" s="156" t="s">
        <v>868</v>
      </c>
      <c r="C150" s="156">
        <v>10852</v>
      </c>
      <c r="D150">
        <v>216</v>
      </c>
      <c r="E150">
        <v>120</v>
      </c>
      <c r="F150">
        <v>0</v>
      </c>
      <c r="G150">
        <v>138</v>
      </c>
      <c r="H150">
        <v>1.8</v>
      </c>
      <c r="I150">
        <v>1.95</v>
      </c>
      <c r="J150">
        <v>1.01396</v>
      </c>
      <c r="K150">
        <v>1.54678</v>
      </c>
      <c r="L150">
        <v>1.2725800000000001E-2</v>
      </c>
      <c r="M150">
        <v>0.56699999999999995</v>
      </c>
      <c r="N150">
        <v>0.772675</v>
      </c>
      <c r="O150">
        <v>0.66500000000000004</v>
      </c>
      <c r="P150">
        <v>2.2999999999999998</v>
      </c>
      <c r="Q150">
        <v>0.10650999999999999</v>
      </c>
    </row>
    <row r="151" spans="1:17" ht="13.9" x14ac:dyDescent="0.25">
      <c r="A151" s="156" t="s">
        <v>29</v>
      </c>
      <c r="B151" s="156" t="s">
        <v>906</v>
      </c>
      <c r="C151" s="156">
        <v>8139</v>
      </c>
      <c r="D151">
        <v>363</v>
      </c>
      <c r="E151">
        <v>152</v>
      </c>
      <c r="F151">
        <v>0</v>
      </c>
      <c r="G151">
        <v>184</v>
      </c>
      <c r="H151">
        <v>2.3881600000000001</v>
      </c>
      <c r="I151">
        <v>1.95</v>
      </c>
      <c r="J151">
        <v>1.01396</v>
      </c>
      <c r="K151">
        <v>2.59945</v>
      </c>
      <c r="L151">
        <v>1.6814099999999998E-2</v>
      </c>
      <c r="M151">
        <v>0.56699999999999995</v>
      </c>
      <c r="N151">
        <v>0.772675</v>
      </c>
      <c r="O151">
        <v>0.66500000000000004</v>
      </c>
      <c r="P151">
        <v>2.2999999999999998</v>
      </c>
      <c r="Q151">
        <v>0.10650999999999999</v>
      </c>
    </row>
    <row r="152" spans="1:17" ht="13.9" x14ac:dyDescent="0.25">
      <c r="A152" s="156" t="s">
        <v>29</v>
      </c>
      <c r="B152" s="156" t="s">
        <v>483</v>
      </c>
      <c r="C152" s="156">
        <v>20213</v>
      </c>
      <c r="D152">
        <v>242</v>
      </c>
      <c r="E152">
        <v>111</v>
      </c>
      <c r="F152">
        <v>0</v>
      </c>
      <c r="G152">
        <v>153</v>
      </c>
      <c r="H152">
        <v>2.18018</v>
      </c>
      <c r="I152">
        <v>1.95</v>
      </c>
      <c r="J152">
        <v>1.0341100000000001</v>
      </c>
      <c r="K152">
        <v>4.2335099999999999</v>
      </c>
      <c r="L152">
        <v>3.67385E-2</v>
      </c>
      <c r="M152">
        <v>0.56699999999999995</v>
      </c>
      <c r="N152">
        <v>0.772675</v>
      </c>
      <c r="O152">
        <v>0.66500000000000004</v>
      </c>
      <c r="P152">
        <v>2.2999999999999998</v>
      </c>
      <c r="Q152">
        <v>0.21192900000000001</v>
      </c>
    </row>
    <row r="153" spans="1:17" ht="13.9" x14ac:dyDescent="0.25">
      <c r="A153" s="156" t="s">
        <v>29</v>
      </c>
      <c r="B153" s="156" t="s">
        <v>106</v>
      </c>
      <c r="C153" s="156">
        <v>5731</v>
      </c>
      <c r="D153">
        <v>466</v>
      </c>
      <c r="E153">
        <v>284</v>
      </c>
      <c r="F153">
        <v>0</v>
      </c>
      <c r="G153">
        <v>332</v>
      </c>
      <c r="H153">
        <v>1.6408499999999999</v>
      </c>
      <c r="I153">
        <v>1.95</v>
      </c>
      <c r="J153">
        <v>1.05383</v>
      </c>
      <c r="K153">
        <v>12.8635</v>
      </c>
      <c r="L153">
        <v>4.3331399999999999E-2</v>
      </c>
      <c r="M153">
        <v>0.56699999999999995</v>
      </c>
      <c r="N153">
        <v>0.772675</v>
      </c>
      <c r="O153">
        <v>0.66500000000000004</v>
      </c>
      <c r="P153">
        <v>2.2999999999999998</v>
      </c>
      <c r="Q153">
        <v>0.90788999999999997</v>
      </c>
    </row>
    <row r="154" spans="1:17" ht="13.9" x14ac:dyDescent="0.25">
      <c r="A154" s="156" t="s">
        <v>29</v>
      </c>
      <c r="B154" s="156" t="s">
        <v>926</v>
      </c>
      <c r="C154" s="156">
        <v>5746</v>
      </c>
      <c r="D154">
        <v>189</v>
      </c>
      <c r="E154">
        <v>54</v>
      </c>
      <c r="F154">
        <v>0</v>
      </c>
      <c r="G154">
        <v>70</v>
      </c>
      <c r="H154">
        <v>3.5</v>
      </c>
      <c r="I154">
        <v>1.95</v>
      </c>
      <c r="J154">
        <v>1.01396</v>
      </c>
      <c r="K154">
        <v>1.3534299999999999</v>
      </c>
      <c r="L154">
        <v>2.4450800000000002E-2</v>
      </c>
      <c r="M154">
        <v>0.56699999999999995</v>
      </c>
      <c r="N154">
        <v>0.772675</v>
      </c>
      <c r="O154">
        <v>0.66500000000000004</v>
      </c>
      <c r="P154">
        <v>2.2999999999999998</v>
      </c>
      <c r="Q154">
        <v>0.10650999999999999</v>
      </c>
    </row>
    <row r="155" spans="1:17" ht="13.9" x14ac:dyDescent="0.25">
      <c r="A155" s="156" t="s">
        <v>29</v>
      </c>
      <c r="B155" s="156" t="s">
        <v>127</v>
      </c>
      <c r="C155" s="156">
        <v>6151</v>
      </c>
      <c r="D155">
        <v>34571</v>
      </c>
      <c r="E155">
        <v>15311</v>
      </c>
      <c r="F155">
        <v>193</v>
      </c>
      <c r="G155">
        <v>18110</v>
      </c>
      <c r="H155">
        <v>2.2579199999999999</v>
      </c>
      <c r="I155">
        <v>1.95</v>
      </c>
      <c r="J155">
        <v>1.0138100000000001</v>
      </c>
      <c r="K155">
        <v>244.869</v>
      </c>
      <c r="L155">
        <v>1.57413E-2</v>
      </c>
      <c r="M155">
        <v>0.56699999999999995</v>
      </c>
      <c r="N155">
        <v>0.772675</v>
      </c>
      <c r="O155">
        <v>0.66500000000000004</v>
      </c>
      <c r="P155">
        <v>2.2999999999999998</v>
      </c>
      <c r="Q155">
        <v>-0.48288599999999998</v>
      </c>
    </row>
    <row r="156" spans="1:17" ht="13.9" x14ac:dyDescent="0.25">
      <c r="A156" s="156" t="s">
        <v>29</v>
      </c>
      <c r="B156" s="156" t="s">
        <v>128</v>
      </c>
      <c r="C156" s="156">
        <v>8020</v>
      </c>
      <c r="D156">
        <v>1323</v>
      </c>
      <c r="E156">
        <v>702</v>
      </c>
      <c r="F156">
        <v>0</v>
      </c>
      <c r="G156">
        <v>777</v>
      </c>
      <c r="H156">
        <v>1.88462</v>
      </c>
      <c r="I156">
        <v>1.95</v>
      </c>
      <c r="J156">
        <v>1</v>
      </c>
      <c r="K156">
        <v>0</v>
      </c>
      <c r="L156">
        <v>0</v>
      </c>
      <c r="M156">
        <v>0.56699999999999995</v>
      </c>
      <c r="N156">
        <v>0.772675</v>
      </c>
      <c r="O156">
        <v>0.66500000000000004</v>
      </c>
      <c r="P156">
        <v>2.2999999999999998</v>
      </c>
      <c r="Q156">
        <v>-0.30264799999999997</v>
      </c>
    </row>
    <row r="157" spans="1:17" ht="13.9" x14ac:dyDescent="0.25">
      <c r="A157" s="156" t="s">
        <v>29</v>
      </c>
      <c r="B157" s="156" t="s">
        <v>11</v>
      </c>
      <c r="C157" s="156">
        <v>2999</v>
      </c>
      <c r="D157">
        <v>1129</v>
      </c>
      <c r="E157">
        <v>495</v>
      </c>
      <c r="F157">
        <v>0</v>
      </c>
      <c r="G157">
        <v>604</v>
      </c>
      <c r="H157">
        <v>2.2808099999999998</v>
      </c>
      <c r="I157">
        <v>1.95</v>
      </c>
      <c r="J157">
        <v>1.01346</v>
      </c>
      <c r="K157">
        <v>7.7935699999999999</v>
      </c>
      <c r="L157">
        <v>1.55005E-2</v>
      </c>
      <c r="M157">
        <v>0.56699999999999995</v>
      </c>
      <c r="N157">
        <v>0.772675</v>
      </c>
      <c r="O157">
        <v>0.66500000000000004</v>
      </c>
      <c r="P157">
        <v>2.2999999999999998</v>
      </c>
      <c r="Q157">
        <v>-0.41318199999999999</v>
      </c>
    </row>
    <row r="158" spans="1:17" ht="13.9" x14ac:dyDescent="0.25">
      <c r="A158" s="156" t="s">
        <v>29</v>
      </c>
      <c r="B158" s="156" t="s">
        <v>11</v>
      </c>
      <c r="C158" s="156">
        <v>6574</v>
      </c>
      <c r="D158">
        <v>348</v>
      </c>
      <c r="E158">
        <v>128</v>
      </c>
      <c r="F158">
        <v>0</v>
      </c>
      <c r="G158">
        <v>157</v>
      </c>
      <c r="H158">
        <v>2.71875</v>
      </c>
      <c r="I158">
        <v>1.95</v>
      </c>
      <c r="J158">
        <v>1.01396</v>
      </c>
      <c r="K158">
        <v>2.4920399999999998</v>
      </c>
      <c r="L158">
        <v>1.9097200000000002E-2</v>
      </c>
      <c r="M158">
        <v>0.56699999999999995</v>
      </c>
      <c r="N158">
        <v>0.772675</v>
      </c>
      <c r="O158">
        <v>0.66500000000000004</v>
      </c>
      <c r="P158">
        <v>2.2999999999999998</v>
      </c>
      <c r="Q158">
        <v>0.10650999999999999</v>
      </c>
    </row>
    <row r="159" spans="1:17" ht="13.9" x14ac:dyDescent="0.25">
      <c r="A159" s="156" t="s">
        <v>29</v>
      </c>
      <c r="B159" s="156" t="s">
        <v>11</v>
      </c>
      <c r="C159" s="156">
        <v>6884</v>
      </c>
      <c r="D159">
        <v>26</v>
      </c>
      <c r="E159">
        <v>13</v>
      </c>
      <c r="F159">
        <v>0</v>
      </c>
      <c r="G159">
        <v>42</v>
      </c>
      <c r="H159">
        <v>2</v>
      </c>
      <c r="I159">
        <v>1.95</v>
      </c>
      <c r="J159">
        <v>1.01396</v>
      </c>
      <c r="K159">
        <v>0.18618699999999999</v>
      </c>
      <c r="L159">
        <v>1.41198E-2</v>
      </c>
      <c r="M159">
        <v>0.56699999999999995</v>
      </c>
      <c r="N159">
        <v>0.772675</v>
      </c>
      <c r="O159">
        <v>0.66500000000000004</v>
      </c>
      <c r="P159">
        <v>2.2999999999999998</v>
      </c>
      <c r="Q159">
        <v>0.10650999999999999</v>
      </c>
    </row>
    <row r="160" spans="1:17" ht="13.9" x14ac:dyDescent="0.25">
      <c r="A160" s="156" t="s">
        <v>29</v>
      </c>
      <c r="B160" s="156" t="s">
        <v>11</v>
      </c>
      <c r="C160" s="156">
        <v>7849</v>
      </c>
      <c r="D160">
        <v>1735</v>
      </c>
      <c r="E160">
        <v>766</v>
      </c>
      <c r="F160">
        <v>0</v>
      </c>
      <c r="G160">
        <v>835</v>
      </c>
      <c r="H160">
        <v>2.2650100000000002</v>
      </c>
      <c r="I160">
        <v>1.95</v>
      </c>
      <c r="J160">
        <v>1.00149</v>
      </c>
      <c r="K160">
        <v>1.3212699999999999</v>
      </c>
      <c r="L160">
        <v>1.72192E-3</v>
      </c>
      <c r="M160">
        <v>0.56699999999999995</v>
      </c>
      <c r="N160">
        <v>0.772675</v>
      </c>
      <c r="O160">
        <v>0.66500000000000004</v>
      </c>
      <c r="P160">
        <v>2.2999999999999998</v>
      </c>
      <c r="Q160">
        <v>-0.28263700000000003</v>
      </c>
    </row>
    <row r="161" spans="1:17" ht="13.9" x14ac:dyDescent="0.25">
      <c r="A161" s="156" t="s">
        <v>29</v>
      </c>
      <c r="B161" s="156" t="s">
        <v>11</v>
      </c>
      <c r="C161" s="156">
        <v>8481</v>
      </c>
      <c r="D161">
        <v>7225</v>
      </c>
      <c r="E161">
        <v>2822</v>
      </c>
      <c r="F161">
        <v>0</v>
      </c>
      <c r="G161">
        <v>3202</v>
      </c>
      <c r="H161">
        <v>2.5602399999999998</v>
      </c>
      <c r="I161">
        <v>1.95</v>
      </c>
      <c r="J161">
        <v>1</v>
      </c>
      <c r="K161">
        <v>0</v>
      </c>
      <c r="L161">
        <v>0</v>
      </c>
      <c r="M161">
        <v>0.56699999999999995</v>
      </c>
      <c r="N161">
        <v>0.772675</v>
      </c>
      <c r="O161">
        <v>0.66500000000000004</v>
      </c>
      <c r="P161">
        <v>2.2999999999999998</v>
      </c>
      <c r="Q161">
        <v>-0.360041</v>
      </c>
    </row>
    <row r="162" spans="1:17" ht="13.9" x14ac:dyDescent="0.25">
      <c r="A162" s="156" t="s">
        <v>29</v>
      </c>
      <c r="B162" s="156" t="s">
        <v>927</v>
      </c>
      <c r="C162" s="156">
        <v>11523</v>
      </c>
      <c r="D162">
        <v>132</v>
      </c>
      <c r="E162">
        <v>48</v>
      </c>
      <c r="F162">
        <v>0</v>
      </c>
      <c r="G162">
        <v>75</v>
      </c>
      <c r="H162">
        <v>2.75</v>
      </c>
      <c r="I162">
        <v>1.95</v>
      </c>
      <c r="J162">
        <v>1.01396</v>
      </c>
      <c r="K162">
        <v>0.94525499999999996</v>
      </c>
      <c r="L162">
        <v>1.93125E-2</v>
      </c>
      <c r="M162">
        <v>0.56699999999999995</v>
      </c>
      <c r="N162">
        <v>0.772675</v>
      </c>
      <c r="O162">
        <v>0.66500000000000004</v>
      </c>
      <c r="P162">
        <v>2.2999999999999998</v>
      </c>
      <c r="Q162">
        <v>0.90788999999999997</v>
      </c>
    </row>
    <row r="163" spans="1:17" ht="13.9" x14ac:dyDescent="0.25">
      <c r="A163" s="156" t="s">
        <v>29</v>
      </c>
      <c r="B163" s="156" t="s">
        <v>867</v>
      </c>
      <c r="C163" s="156">
        <v>10083</v>
      </c>
      <c r="D163">
        <v>99</v>
      </c>
      <c r="E163">
        <v>35</v>
      </c>
      <c r="F163">
        <v>0</v>
      </c>
      <c r="G163">
        <v>42</v>
      </c>
      <c r="H163">
        <v>2.82857</v>
      </c>
      <c r="I163">
        <v>1.95</v>
      </c>
      <c r="J163">
        <v>1.0307299999999999</v>
      </c>
      <c r="K163">
        <v>1.5602400000000001</v>
      </c>
      <c r="L163">
        <v>4.2675900000000003E-2</v>
      </c>
      <c r="M163">
        <v>0.56699999999999995</v>
      </c>
      <c r="N163">
        <v>0.772675</v>
      </c>
      <c r="O163">
        <v>0.66500000000000004</v>
      </c>
      <c r="P163">
        <v>2.2999999999999998</v>
      </c>
      <c r="Q163">
        <v>-0.514984</v>
      </c>
    </row>
    <row r="164" spans="1:17" ht="13.9" x14ac:dyDescent="0.25">
      <c r="A164" s="156" t="s">
        <v>29</v>
      </c>
      <c r="B164" s="156" t="s">
        <v>150</v>
      </c>
      <c r="C164" s="156">
        <v>20098</v>
      </c>
      <c r="D164">
        <v>84</v>
      </c>
      <c r="E164">
        <v>37</v>
      </c>
      <c r="F164">
        <v>0</v>
      </c>
      <c r="G164">
        <v>45</v>
      </c>
      <c r="H164">
        <v>2.27027</v>
      </c>
      <c r="I164">
        <v>1.95</v>
      </c>
      <c r="J164">
        <v>1.0341100000000001</v>
      </c>
      <c r="K164">
        <v>1.4694799999999999</v>
      </c>
      <c r="L164">
        <v>3.8198700000000002E-2</v>
      </c>
      <c r="M164">
        <v>0.56699999999999995</v>
      </c>
      <c r="N164">
        <v>0.772675</v>
      </c>
      <c r="O164">
        <v>0.66500000000000004</v>
      </c>
      <c r="P164">
        <v>2.2999999999999998</v>
      </c>
      <c r="Q164">
        <v>0.21192900000000001</v>
      </c>
    </row>
    <row r="165" spans="1:17" ht="13.9" x14ac:dyDescent="0.25">
      <c r="A165" s="156" t="s">
        <v>29</v>
      </c>
      <c r="B165" s="156" t="s">
        <v>153</v>
      </c>
      <c r="C165" s="156">
        <v>10966</v>
      </c>
      <c r="D165">
        <v>524</v>
      </c>
      <c r="E165">
        <v>224</v>
      </c>
      <c r="F165">
        <v>0</v>
      </c>
      <c r="G165">
        <v>289</v>
      </c>
      <c r="H165">
        <v>2.3392900000000001</v>
      </c>
      <c r="I165">
        <v>1.95</v>
      </c>
      <c r="J165">
        <v>1.0471600000000001</v>
      </c>
      <c r="K165">
        <v>12.671900000000001</v>
      </c>
      <c r="L165">
        <v>5.3542199999999998E-2</v>
      </c>
      <c r="M165">
        <v>0.56699999999999995</v>
      </c>
      <c r="N165">
        <v>0.772675</v>
      </c>
      <c r="O165">
        <v>0.66500000000000004</v>
      </c>
      <c r="P165">
        <v>2.2999999999999998</v>
      </c>
      <c r="Q165">
        <v>0</v>
      </c>
    </row>
    <row r="166" spans="1:17" ht="13.9" x14ac:dyDescent="0.25">
      <c r="A166" s="156" t="s">
        <v>29</v>
      </c>
      <c r="B166" s="156" t="s">
        <v>177</v>
      </c>
      <c r="C166" s="156">
        <v>6792</v>
      </c>
      <c r="D166">
        <v>638</v>
      </c>
      <c r="E166">
        <v>403</v>
      </c>
      <c r="F166">
        <v>0</v>
      </c>
      <c r="G166">
        <v>475</v>
      </c>
      <c r="H166">
        <v>1.5831299999999999</v>
      </c>
      <c r="I166">
        <v>1.95</v>
      </c>
      <c r="J166">
        <v>1.01396</v>
      </c>
      <c r="K166">
        <v>4.5687300000000004</v>
      </c>
      <c r="L166">
        <v>1.12097E-2</v>
      </c>
      <c r="M166">
        <v>0.56699999999999995</v>
      </c>
      <c r="N166">
        <v>0.772675</v>
      </c>
      <c r="O166">
        <v>0.66500000000000004</v>
      </c>
      <c r="P166">
        <v>2.2999999999999998</v>
      </c>
      <c r="Q166">
        <v>0.10650999999999999</v>
      </c>
    </row>
    <row r="167" spans="1:17" ht="13.9" x14ac:dyDescent="0.25">
      <c r="A167" s="156" t="s">
        <v>29</v>
      </c>
      <c r="B167" s="156" t="s">
        <v>159</v>
      </c>
      <c r="C167" s="156">
        <v>9425</v>
      </c>
      <c r="D167">
        <v>285</v>
      </c>
      <c r="E167">
        <v>158</v>
      </c>
      <c r="F167">
        <v>0</v>
      </c>
      <c r="G167">
        <v>197</v>
      </c>
      <c r="H167">
        <v>1.8038000000000001</v>
      </c>
      <c r="I167">
        <v>1.95</v>
      </c>
      <c r="J167">
        <v>1.05383</v>
      </c>
      <c r="K167">
        <v>7.8671699999999998</v>
      </c>
      <c r="L167">
        <v>4.74305E-2</v>
      </c>
      <c r="M167">
        <v>0.56699999999999995</v>
      </c>
      <c r="N167">
        <v>0.772675</v>
      </c>
      <c r="O167">
        <v>0.66500000000000004</v>
      </c>
      <c r="P167">
        <v>2.2999999999999998</v>
      </c>
      <c r="Q167">
        <v>-0.49909300000000001</v>
      </c>
    </row>
    <row r="168" spans="1:17" ht="13.9" x14ac:dyDescent="0.25">
      <c r="A168" s="156" t="s">
        <v>29</v>
      </c>
      <c r="B168" s="156" t="s">
        <v>482</v>
      </c>
      <c r="C168" s="156">
        <v>5643</v>
      </c>
      <c r="D168">
        <v>1006</v>
      </c>
      <c r="E168">
        <v>493</v>
      </c>
      <c r="F168">
        <v>0</v>
      </c>
      <c r="G168">
        <v>598</v>
      </c>
      <c r="H168">
        <v>2.0405700000000002</v>
      </c>
      <c r="I168">
        <v>1.95</v>
      </c>
      <c r="J168">
        <v>1.05383</v>
      </c>
      <c r="K168">
        <v>27.7697</v>
      </c>
      <c r="L168">
        <v>5.3324400000000001E-2</v>
      </c>
      <c r="M168">
        <v>0.56699999999999995</v>
      </c>
      <c r="N168">
        <v>0.772675</v>
      </c>
      <c r="O168">
        <v>0.66500000000000004</v>
      </c>
      <c r="P168">
        <v>2.2999999999999998</v>
      </c>
      <c r="Q168">
        <v>-0.54917400000000005</v>
      </c>
    </row>
    <row r="169" spans="1:17" ht="13.9" x14ac:dyDescent="0.25">
      <c r="A169" s="156" t="s">
        <v>20</v>
      </c>
      <c r="B169" s="156" t="s">
        <v>39</v>
      </c>
      <c r="C169" s="156">
        <v>99906</v>
      </c>
      <c r="D169">
        <v>405</v>
      </c>
      <c r="E169">
        <v>210</v>
      </c>
      <c r="F169">
        <v>0</v>
      </c>
      <c r="G169">
        <v>312</v>
      </c>
      <c r="H169">
        <v>1.9285699999999999</v>
      </c>
      <c r="I169">
        <v>1.95</v>
      </c>
      <c r="J169">
        <v>1.4805299999999999</v>
      </c>
      <c r="K169">
        <v>99.802000000000007</v>
      </c>
      <c r="L169">
        <v>0.32214799999999999</v>
      </c>
      <c r="M169">
        <v>0.56699999999999995</v>
      </c>
      <c r="N169">
        <v>0.772675</v>
      </c>
      <c r="O169">
        <v>0.74399999999999999</v>
      </c>
      <c r="P169">
        <v>2.2999999999999998</v>
      </c>
      <c r="Q169">
        <v>-0.58536600000000005</v>
      </c>
    </row>
    <row r="170" spans="1:17" ht="13.9" x14ac:dyDescent="0.25">
      <c r="A170" s="156" t="s">
        <v>20</v>
      </c>
      <c r="B170" s="156" t="s">
        <v>877</v>
      </c>
      <c r="C170" s="156">
        <v>11473</v>
      </c>
      <c r="D170">
        <v>457</v>
      </c>
      <c r="E170">
        <v>185</v>
      </c>
      <c r="F170">
        <v>0</v>
      </c>
      <c r="G170">
        <v>231</v>
      </c>
      <c r="H170">
        <v>2.4702700000000002</v>
      </c>
      <c r="I170">
        <v>1.95</v>
      </c>
      <c r="J170">
        <v>1.11002</v>
      </c>
      <c r="K170">
        <v>25.7851</v>
      </c>
      <c r="L170">
        <v>0.12232899999999999</v>
      </c>
      <c r="M170">
        <v>0.56699999999999995</v>
      </c>
      <c r="N170">
        <v>0.772675</v>
      </c>
      <c r="O170">
        <v>0.74399999999999999</v>
      </c>
      <c r="P170">
        <v>2.2999999999999998</v>
      </c>
      <c r="Q170">
        <v>-0.44758999999999999</v>
      </c>
    </row>
    <row r="171" spans="1:17" ht="13.9" x14ac:dyDescent="0.25">
      <c r="A171" s="156" t="s">
        <v>20</v>
      </c>
      <c r="B171" s="156" t="s">
        <v>871</v>
      </c>
      <c r="C171" s="156">
        <v>3302</v>
      </c>
      <c r="D171">
        <v>354</v>
      </c>
      <c r="E171">
        <v>170</v>
      </c>
      <c r="F171">
        <v>0</v>
      </c>
      <c r="G171">
        <v>354</v>
      </c>
      <c r="H171">
        <v>2.0823499999999999</v>
      </c>
      <c r="I171">
        <v>1.95</v>
      </c>
      <c r="J171">
        <v>1.2938499999999999</v>
      </c>
      <c r="K171">
        <v>53.345799999999997</v>
      </c>
      <c r="L171">
        <v>0.238848</v>
      </c>
      <c r="M171">
        <v>0.56699999999999995</v>
      </c>
      <c r="N171">
        <v>0.772675</v>
      </c>
      <c r="O171">
        <v>0.74399999999999999</v>
      </c>
      <c r="P171">
        <v>2.2999999999999998</v>
      </c>
      <c r="Q171">
        <v>-0.67594399999999999</v>
      </c>
    </row>
    <row r="172" spans="1:17" ht="13.9" x14ac:dyDescent="0.25">
      <c r="A172" s="156" t="s">
        <v>20</v>
      </c>
      <c r="B172" s="156" t="s">
        <v>42</v>
      </c>
      <c r="C172" s="156">
        <v>964</v>
      </c>
      <c r="D172">
        <v>1253</v>
      </c>
      <c r="E172">
        <v>473</v>
      </c>
      <c r="F172">
        <v>0</v>
      </c>
      <c r="G172">
        <v>542</v>
      </c>
      <c r="H172">
        <v>2.6490499999999999</v>
      </c>
      <c r="I172">
        <v>1.95</v>
      </c>
      <c r="J172">
        <v>1.2938499999999999</v>
      </c>
      <c r="K172">
        <v>188.82</v>
      </c>
      <c r="L172">
        <v>0.285304</v>
      </c>
      <c r="M172">
        <v>0.56699999999999995</v>
      </c>
      <c r="N172">
        <v>0.772675</v>
      </c>
      <c r="O172">
        <v>0.74399999999999999</v>
      </c>
      <c r="P172">
        <v>2.2999999999999998</v>
      </c>
      <c r="Q172">
        <v>-0.140843</v>
      </c>
    </row>
    <row r="173" spans="1:17" ht="13.9" x14ac:dyDescent="0.25">
      <c r="A173" s="156" t="s">
        <v>20</v>
      </c>
      <c r="B173" s="156" t="s">
        <v>45</v>
      </c>
      <c r="C173" s="156">
        <v>7588</v>
      </c>
      <c r="D173">
        <v>479</v>
      </c>
      <c r="E173">
        <v>287</v>
      </c>
      <c r="F173">
        <v>0</v>
      </c>
      <c r="G173">
        <v>499</v>
      </c>
      <c r="H173">
        <v>1.66899</v>
      </c>
      <c r="I173">
        <v>1.95</v>
      </c>
      <c r="J173">
        <v>1.33748</v>
      </c>
      <c r="K173">
        <v>82.898200000000003</v>
      </c>
      <c r="L173">
        <v>0.224111</v>
      </c>
      <c r="M173">
        <v>0.56699999999999995</v>
      </c>
      <c r="N173">
        <v>0.772675</v>
      </c>
      <c r="O173">
        <v>0.74399999999999999</v>
      </c>
      <c r="P173">
        <v>2.2999999999999998</v>
      </c>
      <c r="Q173">
        <v>-0.48243799999999998</v>
      </c>
    </row>
    <row r="174" spans="1:17" ht="13.9" x14ac:dyDescent="0.25">
      <c r="A174" s="156" t="s">
        <v>20</v>
      </c>
      <c r="B174" s="156" t="s">
        <v>65</v>
      </c>
      <c r="C174" s="156">
        <v>1631</v>
      </c>
      <c r="D174">
        <v>17645</v>
      </c>
      <c r="E174">
        <v>6632</v>
      </c>
      <c r="F174">
        <v>280</v>
      </c>
      <c r="G174">
        <v>7897</v>
      </c>
      <c r="H174">
        <v>2.6605799999999999</v>
      </c>
      <c r="I174">
        <v>1.95</v>
      </c>
      <c r="J174">
        <v>1.0705499999999999</v>
      </c>
      <c r="K174">
        <v>638.37800000000004</v>
      </c>
      <c r="L174">
        <v>8.7805300000000003E-2</v>
      </c>
      <c r="M174">
        <v>0.56699999999999995</v>
      </c>
      <c r="N174">
        <v>0.772675</v>
      </c>
      <c r="O174">
        <v>0.74399999999999999</v>
      </c>
      <c r="P174">
        <v>2.2999999999999998</v>
      </c>
      <c r="Q174">
        <v>0.20336000000000001</v>
      </c>
    </row>
    <row r="175" spans="1:17" ht="13.9" x14ac:dyDescent="0.25">
      <c r="A175" s="156" t="s">
        <v>20</v>
      </c>
      <c r="B175" s="156" t="s">
        <v>3</v>
      </c>
      <c r="C175" s="156">
        <v>4734</v>
      </c>
      <c r="D175">
        <v>32607</v>
      </c>
      <c r="E175">
        <v>15294</v>
      </c>
      <c r="F175">
        <v>620</v>
      </c>
      <c r="G175">
        <v>18961</v>
      </c>
      <c r="H175">
        <v>2.1320100000000002</v>
      </c>
      <c r="I175">
        <v>1.95</v>
      </c>
      <c r="J175">
        <v>1.07108</v>
      </c>
      <c r="K175">
        <v>1188.58</v>
      </c>
      <c r="L175">
        <v>7.2111499999999995E-2</v>
      </c>
      <c r="M175">
        <v>0.56699999999999995</v>
      </c>
      <c r="N175">
        <v>0.772675</v>
      </c>
      <c r="O175">
        <v>0.74399999999999999</v>
      </c>
      <c r="P175">
        <v>2.2999999999999998</v>
      </c>
      <c r="Q175">
        <v>0.163073</v>
      </c>
    </row>
    <row r="176" spans="1:17" ht="13.9" x14ac:dyDescent="0.25">
      <c r="A176" s="156" t="s">
        <v>20</v>
      </c>
      <c r="B176" s="156" t="s">
        <v>3</v>
      </c>
      <c r="C176" s="156">
        <v>7299</v>
      </c>
      <c r="D176">
        <v>1731</v>
      </c>
      <c r="E176">
        <v>768</v>
      </c>
      <c r="F176">
        <v>0</v>
      </c>
      <c r="G176">
        <v>884</v>
      </c>
      <c r="H176">
        <v>2.2539099999999999</v>
      </c>
      <c r="I176">
        <v>1.95</v>
      </c>
      <c r="J176">
        <v>1.0617399999999999</v>
      </c>
      <c r="K176">
        <v>54.808799999999998</v>
      </c>
      <c r="L176">
        <v>6.6611799999999999E-2</v>
      </c>
      <c r="M176">
        <v>0.56699999999999995</v>
      </c>
      <c r="N176">
        <v>0.772675</v>
      </c>
      <c r="O176">
        <v>0.74399999999999999</v>
      </c>
      <c r="P176">
        <v>2.2999999999999998</v>
      </c>
      <c r="Q176">
        <v>-0.214113</v>
      </c>
    </row>
    <row r="177" spans="1:17" ht="13.9" x14ac:dyDescent="0.25">
      <c r="A177" s="156" t="s">
        <v>20</v>
      </c>
      <c r="B177" s="156" t="s">
        <v>80</v>
      </c>
      <c r="C177" s="156">
        <v>3692</v>
      </c>
      <c r="D177">
        <v>8819</v>
      </c>
      <c r="E177">
        <v>4128</v>
      </c>
      <c r="F177">
        <v>113</v>
      </c>
      <c r="G177">
        <v>5534</v>
      </c>
      <c r="H177">
        <v>2.13639</v>
      </c>
      <c r="I177">
        <v>1.95</v>
      </c>
      <c r="J177">
        <v>1.0819099999999999</v>
      </c>
      <c r="K177">
        <v>370.452</v>
      </c>
      <c r="L177">
        <v>8.2351099999999997E-2</v>
      </c>
      <c r="M177">
        <v>0.56699999999999995</v>
      </c>
      <c r="N177">
        <v>0.772675</v>
      </c>
      <c r="O177">
        <v>0.74399999999999999</v>
      </c>
      <c r="P177">
        <v>2.2999999999999998</v>
      </c>
      <c r="Q177">
        <v>0.65345200000000003</v>
      </c>
    </row>
    <row r="178" spans="1:17" ht="13.9" x14ac:dyDescent="0.25">
      <c r="A178" s="156" t="s">
        <v>20</v>
      </c>
      <c r="B178" s="156" t="s">
        <v>83</v>
      </c>
      <c r="C178" s="156">
        <v>4550</v>
      </c>
      <c r="D178">
        <v>1872</v>
      </c>
      <c r="E178">
        <v>730</v>
      </c>
      <c r="F178">
        <v>1021</v>
      </c>
      <c r="G178">
        <v>812</v>
      </c>
      <c r="H178">
        <v>2.5643799999999999</v>
      </c>
      <c r="I178">
        <v>1.95</v>
      </c>
      <c r="J178">
        <v>1.15425</v>
      </c>
      <c r="K178">
        <v>148.083</v>
      </c>
      <c r="L178">
        <v>0.16864299999999999</v>
      </c>
      <c r="M178">
        <v>0.56699999999999995</v>
      </c>
      <c r="N178">
        <v>0.772675</v>
      </c>
      <c r="O178">
        <v>0.74399999999999999</v>
      </c>
      <c r="P178">
        <v>2.2999999999999998</v>
      </c>
      <c r="Q178">
        <v>2.5097600000000001E-2</v>
      </c>
    </row>
    <row r="179" spans="1:17" ht="13.9" x14ac:dyDescent="0.25">
      <c r="A179" s="156" t="s">
        <v>20</v>
      </c>
      <c r="B179" s="156" t="s">
        <v>95</v>
      </c>
      <c r="C179" s="156">
        <v>6040</v>
      </c>
      <c r="D179">
        <v>29737</v>
      </c>
      <c r="E179">
        <v>13465</v>
      </c>
      <c r="F179">
        <v>487</v>
      </c>
      <c r="G179">
        <v>17512</v>
      </c>
      <c r="H179">
        <v>2.2084700000000002</v>
      </c>
      <c r="I179">
        <v>1.95</v>
      </c>
      <c r="J179">
        <v>1.32457</v>
      </c>
      <c r="K179">
        <v>4949.58</v>
      </c>
      <c r="L179">
        <v>0.26878600000000002</v>
      </c>
      <c r="M179">
        <v>0.56699999999999995</v>
      </c>
      <c r="N179">
        <v>0.772675</v>
      </c>
      <c r="O179">
        <v>0.74399999999999999</v>
      </c>
      <c r="P179">
        <v>2.2999999999999998</v>
      </c>
      <c r="Q179">
        <v>-1.4525700000000001E-2</v>
      </c>
    </row>
    <row r="180" spans="1:17" ht="13.9" x14ac:dyDescent="0.25">
      <c r="A180" s="156" t="s">
        <v>20</v>
      </c>
      <c r="B180" s="156" t="s">
        <v>869</v>
      </c>
      <c r="C180" s="156">
        <v>2567</v>
      </c>
      <c r="D180">
        <v>883</v>
      </c>
      <c r="E180">
        <v>369</v>
      </c>
      <c r="F180">
        <v>0</v>
      </c>
      <c r="G180">
        <v>439</v>
      </c>
      <c r="H180">
        <v>2.3929499999999999</v>
      </c>
      <c r="I180">
        <v>1.95</v>
      </c>
      <c r="J180">
        <v>1.0705499999999999</v>
      </c>
      <c r="K180">
        <v>31.946000000000002</v>
      </c>
      <c r="L180">
        <v>7.96766E-2</v>
      </c>
      <c r="M180">
        <v>0.56699999999999995</v>
      </c>
      <c r="N180">
        <v>0.772675</v>
      </c>
      <c r="O180">
        <v>0.74399999999999999</v>
      </c>
      <c r="P180">
        <v>2.2999999999999998</v>
      </c>
      <c r="Q180">
        <v>-0.68620400000000004</v>
      </c>
    </row>
    <row r="181" spans="1:17" ht="13.9" x14ac:dyDescent="0.25">
      <c r="A181" s="156" t="s">
        <v>20</v>
      </c>
      <c r="B181" s="156" t="s">
        <v>98</v>
      </c>
      <c r="C181" s="156">
        <v>3619</v>
      </c>
      <c r="D181">
        <v>258</v>
      </c>
      <c r="E181">
        <v>149</v>
      </c>
      <c r="F181">
        <v>0</v>
      </c>
      <c r="G181">
        <v>279</v>
      </c>
      <c r="H181">
        <v>1.7315400000000001</v>
      </c>
      <c r="I181">
        <v>1.95</v>
      </c>
      <c r="J181">
        <v>1.0705499999999999</v>
      </c>
      <c r="K181">
        <v>9.3341799999999999</v>
      </c>
      <c r="L181">
        <v>5.8952400000000002E-2</v>
      </c>
      <c r="M181">
        <v>0.56699999999999995</v>
      </c>
      <c r="N181">
        <v>0.772675</v>
      </c>
      <c r="O181">
        <v>0.74399999999999999</v>
      </c>
      <c r="P181">
        <v>2.2999999999999998</v>
      </c>
      <c r="Q181">
        <v>-0.105003</v>
      </c>
    </row>
    <row r="182" spans="1:17" ht="13.9" x14ac:dyDescent="0.25">
      <c r="A182" s="156" t="s">
        <v>20</v>
      </c>
      <c r="B182" s="156" t="s">
        <v>100</v>
      </c>
      <c r="C182" s="156">
        <v>543</v>
      </c>
      <c r="D182">
        <v>1555</v>
      </c>
      <c r="E182">
        <v>674</v>
      </c>
      <c r="F182">
        <v>0</v>
      </c>
      <c r="G182">
        <v>822</v>
      </c>
      <c r="H182">
        <v>2.3071199999999998</v>
      </c>
      <c r="I182">
        <v>1.95</v>
      </c>
      <c r="J182">
        <v>1.14455</v>
      </c>
      <c r="K182">
        <v>115.26900000000001</v>
      </c>
      <c r="L182">
        <v>0.14604600000000001</v>
      </c>
      <c r="M182">
        <v>0.56699999999999995</v>
      </c>
      <c r="N182">
        <v>0.772675</v>
      </c>
      <c r="O182">
        <v>0.74399999999999999</v>
      </c>
      <c r="P182">
        <v>2.2999999999999998</v>
      </c>
      <c r="Q182">
        <v>-0.18881300000000001</v>
      </c>
    </row>
    <row r="183" spans="1:17" ht="13.9" x14ac:dyDescent="0.25">
      <c r="A183" s="156" t="s">
        <v>20</v>
      </c>
      <c r="B183" s="156" t="s">
        <v>483</v>
      </c>
      <c r="C183" s="156">
        <v>279</v>
      </c>
      <c r="D183">
        <v>4236</v>
      </c>
      <c r="E183">
        <v>1773</v>
      </c>
      <c r="F183">
        <v>0</v>
      </c>
      <c r="G183">
        <v>2087</v>
      </c>
      <c r="H183">
        <v>2.38917</v>
      </c>
      <c r="I183">
        <v>1.95</v>
      </c>
      <c r="J183">
        <v>1.0828</v>
      </c>
      <c r="K183">
        <v>179.863</v>
      </c>
      <c r="L183">
        <v>9.2102100000000006E-2</v>
      </c>
      <c r="M183">
        <v>0.56699999999999995</v>
      </c>
      <c r="N183">
        <v>0.772675</v>
      </c>
      <c r="O183">
        <v>0.74399999999999999</v>
      </c>
      <c r="P183">
        <v>2.2999999999999998</v>
      </c>
      <c r="Q183">
        <v>-0.68358699999999994</v>
      </c>
    </row>
    <row r="184" spans="1:17" ht="13.9" x14ac:dyDescent="0.25">
      <c r="A184" s="156" t="s">
        <v>20</v>
      </c>
      <c r="B184" s="156" t="s">
        <v>483</v>
      </c>
      <c r="C184" s="156">
        <v>590</v>
      </c>
      <c r="D184">
        <v>9898</v>
      </c>
      <c r="E184">
        <v>3732</v>
      </c>
      <c r="F184">
        <v>2</v>
      </c>
      <c r="G184">
        <v>4073</v>
      </c>
      <c r="H184">
        <v>2.6522000000000001</v>
      </c>
      <c r="I184">
        <v>1.95</v>
      </c>
      <c r="J184">
        <v>1.00928</v>
      </c>
      <c r="K184">
        <v>47.104300000000002</v>
      </c>
      <c r="L184">
        <v>1.24644E-2</v>
      </c>
      <c r="M184">
        <v>0.56699999999999995</v>
      </c>
      <c r="N184">
        <v>0.772675</v>
      </c>
      <c r="O184">
        <v>0.74399999999999999</v>
      </c>
      <c r="P184">
        <v>2.2999999999999998</v>
      </c>
      <c r="Q184">
        <v>-0.40405200000000002</v>
      </c>
    </row>
    <row r="185" spans="1:17" ht="13.9" x14ac:dyDescent="0.25">
      <c r="A185" s="156" t="s">
        <v>20</v>
      </c>
      <c r="B185" s="156" t="s">
        <v>483</v>
      </c>
      <c r="C185" s="156">
        <v>2319</v>
      </c>
      <c r="D185">
        <v>685</v>
      </c>
      <c r="E185">
        <v>271</v>
      </c>
      <c r="F185">
        <v>27</v>
      </c>
      <c r="G185">
        <v>341</v>
      </c>
      <c r="H185">
        <v>2.5276800000000001</v>
      </c>
      <c r="I185">
        <v>1.95</v>
      </c>
      <c r="J185">
        <v>1.00709</v>
      </c>
      <c r="K185">
        <v>2.4919899999999999</v>
      </c>
      <c r="L185">
        <v>9.1117699999999999E-3</v>
      </c>
      <c r="M185">
        <v>0.56699999999999995</v>
      </c>
      <c r="N185">
        <v>0.772675</v>
      </c>
      <c r="O185">
        <v>0.74399999999999999</v>
      </c>
      <c r="P185">
        <v>2.2999999999999998</v>
      </c>
      <c r="Q185">
        <v>-0.75090299999999999</v>
      </c>
    </row>
    <row r="186" spans="1:17" ht="13.9" x14ac:dyDescent="0.25">
      <c r="A186" s="156" t="s">
        <v>20</v>
      </c>
      <c r="B186" s="156" t="s">
        <v>483</v>
      </c>
      <c r="C186" s="156">
        <v>2978</v>
      </c>
      <c r="D186">
        <v>7237</v>
      </c>
      <c r="E186">
        <v>3744</v>
      </c>
      <c r="F186">
        <v>0</v>
      </c>
      <c r="G186">
        <v>5116</v>
      </c>
      <c r="H186">
        <v>1.93296</v>
      </c>
      <c r="I186">
        <v>1.95</v>
      </c>
      <c r="J186">
        <v>1.0829800000000001</v>
      </c>
      <c r="K186">
        <v>307.947</v>
      </c>
      <c r="L186">
        <v>7.5999800000000006E-2</v>
      </c>
      <c r="M186">
        <v>0.56699999999999995</v>
      </c>
      <c r="N186">
        <v>0.772675</v>
      </c>
      <c r="O186">
        <v>0.74399999999999999</v>
      </c>
      <c r="P186">
        <v>2.2999999999999998</v>
      </c>
      <c r="Q186">
        <v>0.17255300000000001</v>
      </c>
    </row>
    <row r="187" spans="1:17" ht="13.9" x14ac:dyDescent="0.25">
      <c r="A187" s="156" t="s">
        <v>20</v>
      </c>
      <c r="B187" s="156" t="s">
        <v>483</v>
      </c>
      <c r="C187" s="156">
        <v>3182</v>
      </c>
      <c r="D187">
        <v>32594</v>
      </c>
      <c r="E187">
        <v>13536</v>
      </c>
      <c r="F187">
        <v>206</v>
      </c>
      <c r="G187">
        <v>14961</v>
      </c>
      <c r="H187">
        <v>2.40795</v>
      </c>
      <c r="I187">
        <v>1.95</v>
      </c>
      <c r="J187">
        <v>1.08358</v>
      </c>
      <c r="K187">
        <v>1397</v>
      </c>
      <c r="L187">
        <v>9.3550999999999995E-2</v>
      </c>
      <c r="M187">
        <v>0.56699999999999995</v>
      </c>
      <c r="N187">
        <v>0.772675</v>
      </c>
      <c r="O187">
        <v>0.74399999999999999</v>
      </c>
      <c r="P187">
        <v>2.2999999999999998</v>
      </c>
      <c r="Q187">
        <v>-0.39824599999999999</v>
      </c>
    </row>
    <row r="188" spans="1:17" ht="13.9" x14ac:dyDescent="0.25">
      <c r="A188" s="156" t="s">
        <v>20</v>
      </c>
      <c r="B188" s="156" t="s">
        <v>483</v>
      </c>
      <c r="C188" s="156">
        <v>3677</v>
      </c>
      <c r="D188">
        <v>1864</v>
      </c>
      <c r="E188">
        <v>831</v>
      </c>
      <c r="F188">
        <v>103</v>
      </c>
      <c r="G188">
        <v>1020</v>
      </c>
      <c r="H188">
        <v>2.24308</v>
      </c>
      <c r="I188">
        <v>1.95</v>
      </c>
      <c r="J188">
        <v>1.11652</v>
      </c>
      <c r="K188">
        <v>111.379</v>
      </c>
      <c r="L188">
        <v>0.118189</v>
      </c>
      <c r="M188">
        <v>0.56699999999999995</v>
      </c>
      <c r="N188">
        <v>0.772675</v>
      </c>
      <c r="O188">
        <v>0.74399999999999999</v>
      </c>
      <c r="P188">
        <v>2.2999999999999998</v>
      </c>
      <c r="Q188">
        <v>-0.25103399999999998</v>
      </c>
    </row>
    <row r="189" spans="1:17" ht="13.9" x14ac:dyDescent="0.25">
      <c r="A189" s="156" t="s">
        <v>20</v>
      </c>
      <c r="B189" s="156" t="s">
        <v>483</v>
      </c>
      <c r="C189" s="156">
        <v>3759</v>
      </c>
      <c r="D189">
        <v>3622</v>
      </c>
      <c r="E189">
        <v>1503</v>
      </c>
      <c r="F189">
        <v>0</v>
      </c>
      <c r="G189">
        <v>1808</v>
      </c>
      <c r="H189">
        <v>2.40985</v>
      </c>
      <c r="I189">
        <v>1.95</v>
      </c>
      <c r="J189">
        <v>1.0828</v>
      </c>
      <c r="K189">
        <v>153.792</v>
      </c>
      <c r="L189">
        <v>9.2825199999999997E-2</v>
      </c>
      <c r="M189">
        <v>0.56699999999999995</v>
      </c>
      <c r="N189">
        <v>0.772675</v>
      </c>
      <c r="O189">
        <v>0.74399999999999999</v>
      </c>
      <c r="P189">
        <v>2.2999999999999998</v>
      </c>
      <c r="Q189">
        <v>-0.39261600000000002</v>
      </c>
    </row>
    <row r="190" spans="1:17" ht="13.9" x14ac:dyDescent="0.25">
      <c r="A190" s="156" t="s">
        <v>20</v>
      </c>
      <c r="B190" s="156" t="s">
        <v>483</v>
      </c>
      <c r="C190" s="156">
        <v>6223</v>
      </c>
      <c r="D190">
        <v>1021</v>
      </c>
      <c r="E190">
        <v>517</v>
      </c>
      <c r="F190">
        <v>0</v>
      </c>
      <c r="G190">
        <v>802</v>
      </c>
      <c r="H190">
        <v>1.97485</v>
      </c>
      <c r="I190">
        <v>1.95</v>
      </c>
      <c r="J190">
        <v>1</v>
      </c>
      <c r="K190">
        <v>0</v>
      </c>
      <c r="L190">
        <v>0</v>
      </c>
      <c r="M190">
        <v>0.56699999999999995</v>
      </c>
      <c r="N190">
        <v>0.772675</v>
      </c>
      <c r="O190">
        <v>0.74399999999999999</v>
      </c>
      <c r="P190">
        <v>2.2999999999999998</v>
      </c>
      <c r="Q190">
        <v>-0.54213299999999998</v>
      </c>
    </row>
    <row r="191" spans="1:17" ht="13.9" x14ac:dyDescent="0.25">
      <c r="A191" s="156" t="s">
        <v>20</v>
      </c>
      <c r="B191" s="156" t="s">
        <v>483</v>
      </c>
      <c r="C191" s="156">
        <v>7718</v>
      </c>
      <c r="D191">
        <v>946</v>
      </c>
      <c r="E191">
        <v>402</v>
      </c>
      <c r="F191">
        <v>0</v>
      </c>
      <c r="G191">
        <v>509</v>
      </c>
      <c r="H191">
        <v>2.3532299999999999</v>
      </c>
      <c r="I191">
        <v>1.95</v>
      </c>
      <c r="J191">
        <v>1.14455</v>
      </c>
      <c r="K191">
        <v>70.125299999999996</v>
      </c>
      <c r="L191">
        <v>0.148531</v>
      </c>
      <c r="M191">
        <v>0.56699999999999995</v>
      </c>
      <c r="N191">
        <v>0.772675</v>
      </c>
      <c r="O191">
        <v>0.74399999999999999</v>
      </c>
      <c r="P191">
        <v>2.2999999999999998</v>
      </c>
      <c r="Q191">
        <v>-2.5336600000000001E-2</v>
      </c>
    </row>
    <row r="192" spans="1:17" ht="13.9" x14ac:dyDescent="0.25">
      <c r="A192" s="156" t="s">
        <v>20</v>
      </c>
      <c r="B192" s="156" t="s">
        <v>483</v>
      </c>
      <c r="C192" s="156">
        <v>7745</v>
      </c>
      <c r="D192">
        <v>709</v>
      </c>
      <c r="E192">
        <v>297</v>
      </c>
      <c r="F192">
        <v>186</v>
      </c>
      <c r="G192">
        <v>365</v>
      </c>
      <c r="H192">
        <v>2.3872100000000001</v>
      </c>
      <c r="I192">
        <v>1.95</v>
      </c>
      <c r="J192">
        <v>1.0617399999999999</v>
      </c>
      <c r="K192">
        <v>22.449100000000001</v>
      </c>
      <c r="L192">
        <v>7.0274500000000004E-2</v>
      </c>
      <c r="M192">
        <v>0.56699999999999995</v>
      </c>
      <c r="N192">
        <v>0.772675</v>
      </c>
      <c r="O192">
        <v>0.74399999999999999</v>
      </c>
      <c r="P192">
        <v>2.2999999999999998</v>
      </c>
      <c r="Q192">
        <v>-0.29533700000000002</v>
      </c>
    </row>
    <row r="193" spans="1:17" ht="13.9" x14ac:dyDescent="0.25">
      <c r="A193" s="156" t="s">
        <v>20</v>
      </c>
      <c r="B193" s="156" t="s">
        <v>483</v>
      </c>
      <c r="C193" s="156">
        <v>7999</v>
      </c>
      <c r="D193">
        <v>4400</v>
      </c>
      <c r="E193">
        <v>1594</v>
      </c>
      <c r="F193">
        <v>0</v>
      </c>
      <c r="G193">
        <v>1750</v>
      </c>
      <c r="H193">
        <v>2.7603499999999999</v>
      </c>
      <c r="I193">
        <v>1.95</v>
      </c>
      <c r="J193">
        <v>1</v>
      </c>
      <c r="K193">
        <v>0</v>
      </c>
      <c r="L193">
        <v>0</v>
      </c>
      <c r="M193">
        <v>0.56699999999999995</v>
      </c>
      <c r="N193">
        <v>0.772675</v>
      </c>
      <c r="O193">
        <v>0.74399999999999999</v>
      </c>
      <c r="P193">
        <v>2.2999999999999998</v>
      </c>
      <c r="Q193">
        <v>-0.61721800000000004</v>
      </c>
    </row>
    <row r="194" spans="1:17" ht="13.9" x14ac:dyDescent="0.25">
      <c r="A194" s="156" t="s">
        <v>20</v>
      </c>
      <c r="B194" s="156" t="s">
        <v>483</v>
      </c>
      <c r="C194" s="156">
        <v>8417</v>
      </c>
      <c r="D194">
        <v>7363</v>
      </c>
      <c r="E194">
        <v>3202</v>
      </c>
      <c r="F194">
        <v>14</v>
      </c>
      <c r="G194">
        <v>4180</v>
      </c>
      <c r="H194">
        <v>2.2995000000000001</v>
      </c>
      <c r="I194">
        <v>1.95</v>
      </c>
      <c r="J194">
        <v>1.00709</v>
      </c>
      <c r="K194">
        <v>26.786200000000001</v>
      </c>
      <c r="L194">
        <v>8.2960699999999991E-3</v>
      </c>
      <c r="M194">
        <v>0.56699999999999995</v>
      </c>
      <c r="N194">
        <v>0.772675</v>
      </c>
      <c r="O194">
        <v>0.74399999999999999</v>
      </c>
      <c r="P194">
        <v>2.2999999999999998</v>
      </c>
      <c r="Q194">
        <v>-0.23164299999999999</v>
      </c>
    </row>
    <row r="195" spans="1:17" ht="13.9" x14ac:dyDescent="0.25">
      <c r="A195" s="156" t="s">
        <v>20</v>
      </c>
      <c r="B195" s="156" t="s">
        <v>483</v>
      </c>
      <c r="C195" s="156">
        <v>11082</v>
      </c>
      <c r="D195">
        <v>2496</v>
      </c>
      <c r="E195">
        <v>1144</v>
      </c>
      <c r="F195">
        <v>6</v>
      </c>
      <c r="G195">
        <v>1506</v>
      </c>
      <c r="H195">
        <v>2.1818200000000001</v>
      </c>
      <c r="I195">
        <v>1.95</v>
      </c>
      <c r="J195">
        <v>1.4805299999999999</v>
      </c>
      <c r="K195">
        <v>615.07600000000002</v>
      </c>
      <c r="L195">
        <v>0.349659</v>
      </c>
      <c r="M195">
        <v>0.56699999999999995</v>
      </c>
      <c r="N195">
        <v>0.772675</v>
      </c>
      <c r="O195">
        <v>0.74399999999999999</v>
      </c>
      <c r="P195">
        <v>2.2999999999999998</v>
      </c>
      <c r="Q195">
        <v>-0.31300800000000001</v>
      </c>
    </row>
    <row r="196" spans="1:17" ht="13.9" x14ac:dyDescent="0.25">
      <c r="A196" s="156" t="s">
        <v>20</v>
      </c>
      <c r="B196" s="156" t="s">
        <v>108</v>
      </c>
      <c r="C196" s="156">
        <v>6640</v>
      </c>
      <c r="D196">
        <v>539</v>
      </c>
      <c r="E196">
        <v>306</v>
      </c>
      <c r="F196">
        <v>0</v>
      </c>
      <c r="G196">
        <v>431</v>
      </c>
      <c r="H196">
        <v>1.7614399999999999</v>
      </c>
      <c r="I196">
        <v>1.95</v>
      </c>
      <c r="J196">
        <v>1.33748</v>
      </c>
      <c r="K196">
        <v>93.2821</v>
      </c>
      <c r="L196">
        <v>0.233625</v>
      </c>
      <c r="M196">
        <v>0.56699999999999995</v>
      </c>
      <c r="N196">
        <v>0.772675</v>
      </c>
      <c r="O196">
        <v>0.74399999999999999</v>
      </c>
      <c r="P196">
        <v>2.2999999999999998</v>
      </c>
      <c r="Q196">
        <v>-0.48082900000000001</v>
      </c>
    </row>
    <row r="197" spans="1:17" ht="13.9" x14ac:dyDescent="0.25">
      <c r="A197" s="156" t="s">
        <v>20</v>
      </c>
      <c r="B197" s="156" t="s">
        <v>110</v>
      </c>
      <c r="C197" s="156">
        <v>5953</v>
      </c>
      <c r="D197">
        <v>838</v>
      </c>
      <c r="E197">
        <v>477</v>
      </c>
      <c r="F197">
        <v>0</v>
      </c>
      <c r="G197">
        <v>594</v>
      </c>
      <c r="H197">
        <v>1.75681</v>
      </c>
      <c r="I197">
        <v>1.95</v>
      </c>
      <c r="J197">
        <v>1.0617399999999999</v>
      </c>
      <c r="K197">
        <v>26.5337</v>
      </c>
      <c r="L197">
        <v>5.2694900000000003E-2</v>
      </c>
      <c r="M197">
        <v>0.56699999999999995</v>
      </c>
      <c r="N197">
        <v>0.772675</v>
      </c>
      <c r="O197">
        <v>0.74399999999999999</v>
      </c>
      <c r="P197">
        <v>2.2999999999999998</v>
      </c>
      <c r="Q197">
        <v>-0.214113</v>
      </c>
    </row>
    <row r="198" spans="1:17" ht="13.9" x14ac:dyDescent="0.25">
      <c r="A198" s="156" t="s">
        <v>20</v>
      </c>
      <c r="B198" s="156" t="s">
        <v>928</v>
      </c>
      <c r="C198" s="156">
        <v>6881</v>
      </c>
      <c r="D198">
        <v>442</v>
      </c>
      <c r="E198">
        <v>240</v>
      </c>
      <c r="F198">
        <v>0</v>
      </c>
      <c r="G198">
        <v>330</v>
      </c>
      <c r="H198">
        <v>1.8416699999999999</v>
      </c>
      <c r="I198">
        <v>1.95</v>
      </c>
      <c r="J198">
        <v>1.4357200000000001</v>
      </c>
      <c r="K198">
        <v>98.764099999999999</v>
      </c>
      <c r="L198">
        <v>0.29154200000000002</v>
      </c>
      <c r="M198">
        <v>0.56699999999999995</v>
      </c>
      <c r="N198">
        <v>0.772675</v>
      </c>
      <c r="O198">
        <v>0.74399999999999999</v>
      </c>
      <c r="P198">
        <v>2.2999999999999998</v>
      </c>
      <c r="Q198">
        <v>-0.190884</v>
      </c>
    </row>
    <row r="199" spans="1:17" ht="13.9" x14ac:dyDescent="0.25">
      <c r="A199" s="156" t="s">
        <v>20</v>
      </c>
      <c r="B199" s="156" t="s">
        <v>928</v>
      </c>
      <c r="C199" s="156">
        <v>9666</v>
      </c>
      <c r="D199">
        <v>640</v>
      </c>
      <c r="E199">
        <v>321</v>
      </c>
      <c r="F199">
        <v>0</v>
      </c>
      <c r="G199">
        <v>381</v>
      </c>
      <c r="H199">
        <v>1.99377</v>
      </c>
      <c r="I199">
        <v>1.95</v>
      </c>
      <c r="J199">
        <v>1.0705499999999999</v>
      </c>
      <c r="K199">
        <v>23.154499999999999</v>
      </c>
      <c r="L199">
        <v>6.7279500000000006E-2</v>
      </c>
      <c r="M199">
        <v>0.56699999999999995</v>
      </c>
      <c r="N199">
        <v>0.772675</v>
      </c>
      <c r="O199">
        <v>0.74399999999999999</v>
      </c>
      <c r="P199">
        <v>2.2999999999999998</v>
      </c>
      <c r="Q199">
        <v>-0.105003</v>
      </c>
    </row>
    <row r="200" spans="1:17" ht="13.9" x14ac:dyDescent="0.25">
      <c r="A200" s="156" t="s">
        <v>20</v>
      </c>
      <c r="B200" s="156" t="s">
        <v>1</v>
      </c>
      <c r="C200" s="156">
        <v>540</v>
      </c>
      <c r="D200">
        <v>1440</v>
      </c>
      <c r="E200">
        <v>614</v>
      </c>
      <c r="F200">
        <v>18</v>
      </c>
      <c r="G200">
        <v>749</v>
      </c>
      <c r="H200">
        <v>2.3452799999999998</v>
      </c>
      <c r="I200">
        <v>1.95</v>
      </c>
      <c r="J200">
        <v>1.14455</v>
      </c>
      <c r="K200">
        <v>106.745</v>
      </c>
      <c r="L200">
        <v>0.14810300000000001</v>
      </c>
      <c r="M200">
        <v>0.56699999999999995</v>
      </c>
      <c r="N200">
        <v>0.772675</v>
      </c>
      <c r="O200">
        <v>0.74399999999999999</v>
      </c>
      <c r="P200">
        <v>2.2999999999999998</v>
      </c>
      <c r="Q200">
        <v>-0.427481</v>
      </c>
    </row>
    <row r="201" spans="1:17" ht="13.9" x14ac:dyDescent="0.25">
      <c r="A201" s="156" t="s">
        <v>20</v>
      </c>
      <c r="B201" s="156" t="s">
        <v>870</v>
      </c>
      <c r="C201" s="156">
        <v>3273</v>
      </c>
      <c r="D201">
        <v>257</v>
      </c>
      <c r="E201">
        <v>157</v>
      </c>
      <c r="F201">
        <v>0</v>
      </c>
      <c r="G201">
        <v>304</v>
      </c>
      <c r="H201">
        <v>1.6369400000000001</v>
      </c>
      <c r="I201">
        <v>1.95</v>
      </c>
      <c r="J201">
        <v>1.14524</v>
      </c>
      <c r="K201">
        <v>19.1419</v>
      </c>
      <c r="L201">
        <v>0.10867300000000001</v>
      </c>
      <c r="M201">
        <v>0.56699999999999995</v>
      </c>
      <c r="N201">
        <v>0.772675</v>
      </c>
      <c r="O201">
        <v>0.74399999999999999</v>
      </c>
      <c r="P201">
        <v>2.2999999999999998</v>
      </c>
      <c r="Q201">
        <v>0</v>
      </c>
    </row>
    <row r="202" spans="1:17" ht="13.9" x14ac:dyDescent="0.25">
      <c r="A202" s="156" t="s">
        <v>20</v>
      </c>
      <c r="B202" s="156" t="s">
        <v>115</v>
      </c>
      <c r="C202" s="156">
        <v>4669</v>
      </c>
      <c r="D202">
        <v>9282</v>
      </c>
      <c r="E202">
        <v>4505</v>
      </c>
      <c r="F202">
        <v>158</v>
      </c>
      <c r="G202">
        <v>6290</v>
      </c>
      <c r="H202">
        <v>2.0603799999999999</v>
      </c>
      <c r="I202">
        <v>1.95</v>
      </c>
      <c r="J202">
        <v>1.0418700000000001</v>
      </c>
      <c r="K202">
        <v>199.27699999999999</v>
      </c>
      <c r="L202">
        <v>4.23609E-2</v>
      </c>
      <c r="M202">
        <v>0.56699999999999995</v>
      </c>
      <c r="N202">
        <v>0.772675</v>
      </c>
      <c r="O202">
        <v>0.74399999999999999</v>
      </c>
      <c r="P202">
        <v>2.2999999999999998</v>
      </c>
      <c r="Q202">
        <v>-8.1132499999999996E-2</v>
      </c>
    </row>
    <row r="203" spans="1:17" ht="13.9" x14ac:dyDescent="0.25">
      <c r="A203" s="156" t="s">
        <v>20</v>
      </c>
      <c r="B203" s="156" t="s">
        <v>117</v>
      </c>
      <c r="C203" s="156">
        <v>6982</v>
      </c>
      <c r="D203">
        <v>296</v>
      </c>
      <c r="E203">
        <v>115</v>
      </c>
      <c r="F203">
        <v>0</v>
      </c>
      <c r="G203">
        <v>125</v>
      </c>
      <c r="H203">
        <v>2.5739100000000001</v>
      </c>
      <c r="I203">
        <v>1.95</v>
      </c>
      <c r="J203">
        <v>1.09961</v>
      </c>
      <c r="K203">
        <v>15.1206</v>
      </c>
      <c r="L203">
        <v>0.116204</v>
      </c>
      <c r="M203">
        <v>0.56699999999999995</v>
      </c>
      <c r="N203">
        <v>0.772675</v>
      </c>
      <c r="O203">
        <v>0.74399999999999999</v>
      </c>
      <c r="P203">
        <v>2.2999999999999998</v>
      </c>
      <c r="Q203">
        <v>-0.54655900000000002</v>
      </c>
    </row>
    <row r="204" spans="1:17" ht="13.9" x14ac:dyDescent="0.25">
      <c r="A204" s="156" t="s">
        <v>20</v>
      </c>
      <c r="B204" s="156" t="s">
        <v>903</v>
      </c>
      <c r="C204" s="156">
        <v>7982</v>
      </c>
      <c r="D204">
        <v>371</v>
      </c>
      <c r="E204">
        <v>163</v>
      </c>
      <c r="F204">
        <v>0</v>
      </c>
      <c r="G204">
        <v>197</v>
      </c>
      <c r="H204">
        <v>2.2760699999999998</v>
      </c>
      <c r="I204">
        <v>1.95</v>
      </c>
      <c r="J204">
        <v>1</v>
      </c>
      <c r="K204">
        <v>0</v>
      </c>
      <c r="L204">
        <v>0</v>
      </c>
      <c r="M204">
        <v>0.56699999999999995</v>
      </c>
      <c r="N204">
        <v>0.772675</v>
      </c>
      <c r="O204">
        <v>0.74399999999999999</v>
      </c>
      <c r="P204">
        <v>2.2999999999999998</v>
      </c>
      <c r="Q204">
        <v>-0.86240300000000003</v>
      </c>
    </row>
    <row r="205" spans="1:17" ht="13.9" x14ac:dyDescent="0.25">
      <c r="A205" s="156" t="s">
        <v>20</v>
      </c>
      <c r="B205" s="156" t="s">
        <v>875</v>
      </c>
      <c r="C205" s="156">
        <v>7773</v>
      </c>
      <c r="D205">
        <v>331</v>
      </c>
      <c r="E205">
        <v>173</v>
      </c>
      <c r="F205">
        <v>0</v>
      </c>
      <c r="G205">
        <v>309</v>
      </c>
      <c r="H205">
        <v>1.9132899999999999</v>
      </c>
      <c r="I205">
        <v>1.95</v>
      </c>
      <c r="J205">
        <v>1.0418700000000001</v>
      </c>
      <c r="K205">
        <v>7.1063200000000002</v>
      </c>
      <c r="L205">
        <v>3.9456199999999997E-2</v>
      </c>
      <c r="M205">
        <v>0.56699999999999995</v>
      </c>
      <c r="N205">
        <v>0.772675</v>
      </c>
      <c r="O205">
        <v>0.74399999999999999</v>
      </c>
      <c r="P205">
        <v>2.2999999999999998</v>
      </c>
      <c r="Q205">
        <v>3.7864399999999999E-2</v>
      </c>
    </row>
    <row r="206" spans="1:17" ht="13.9" x14ac:dyDescent="0.25">
      <c r="A206" s="156" t="s">
        <v>20</v>
      </c>
      <c r="B206" s="156" t="s">
        <v>929</v>
      </c>
      <c r="C206" s="156">
        <v>99999</v>
      </c>
      <c r="D206">
        <v>524</v>
      </c>
      <c r="E206">
        <v>247</v>
      </c>
      <c r="F206">
        <v>0</v>
      </c>
      <c r="G206">
        <v>270</v>
      </c>
      <c r="H206">
        <v>2.1214599999999999</v>
      </c>
      <c r="I206">
        <v>1.95</v>
      </c>
      <c r="J206">
        <v>1.0617399999999999</v>
      </c>
      <c r="K206">
        <v>16.5915</v>
      </c>
      <c r="L206">
        <v>6.2943799999999994E-2</v>
      </c>
      <c r="M206">
        <v>0.56699999999999995</v>
      </c>
      <c r="N206">
        <v>0.772675</v>
      </c>
      <c r="O206">
        <v>0.74399999999999999</v>
      </c>
      <c r="P206">
        <v>2.2999999999999998</v>
      </c>
      <c r="Q206">
        <v>-0.294659</v>
      </c>
    </row>
    <row r="207" spans="1:17" ht="13.9" x14ac:dyDescent="0.25">
      <c r="A207" s="156" t="s">
        <v>20</v>
      </c>
      <c r="B207" s="156" t="s">
        <v>2</v>
      </c>
      <c r="C207" s="156">
        <v>2043</v>
      </c>
      <c r="D207">
        <v>1348</v>
      </c>
      <c r="E207">
        <v>630</v>
      </c>
      <c r="F207">
        <v>0</v>
      </c>
      <c r="G207">
        <v>749</v>
      </c>
      <c r="H207">
        <v>2.1396799999999998</v>
      </c>
      <c r="I207">
        <v>1.95</v>
      </c>
      <c r="J207">
        <v>1.0617399999999999</v>
      </c>
      <c r="K207">
        <v>42.681800000000003</v>
      </c>
      <c r="L207">
        <v>6.3450199999999998E-2</v>
      </c>
      <c r="M207">
        <v>0.56699999999999995</v>
      </c>
      <c r="N207">
        <v>0.772675</v>
      </c>
      <c r="O207">
        <v>0.74399999999999999</v>
      </c>
      <c r="P207">
        <v>2.2999999999999998</v>
      </c>
      <c r="Q207">
        <v>-0.214113</v>
      </c>
    </row>
    <row r="208" spans="1:17" ht="13.9" x14ac:dyDescent="0.25">
      <c r="A208" s="156" t="s">
        <v>20</v>
      </c>
      <c r="B208" s="156" t="s">
        <v>133</v>
      </c>
      <c r="C208" s="156">
        <v>99915</v>
      </c>
      <c r="D208">
        <v>112</v>
      </c>
      <c r="E208">
        <v>59</v>
      </c>
      <c r="F208">
        <v>0</v>
      </c>
      <c r="G208">
        <v>143</v>
      </c>
      <c r="H208">
        <v>1.8983099999999999</v>
      </c>
      <c r="I208">
        <v>1.95</v>
      </c>
      <c r="J208">
        <v>1.0617399999999999</v>
      </c>
      <c r="K208">
        <v>3.5462600000000002</v>
      </c>
      <c r="L208">
        <v>5.66983E-2</v>
      </c>
      <c r="M208">
        <v>0.56699999999999995</v>
      </c>
      <c r="N208">
        <v>0.772675</v>
      </c>
      <c r="O208">
        <v>0.74399999999999999</v>
      </c>
      <c r="P208">
        <v>2.2999999999999998</v>
      </c>
      <c r="Q208">
        <v>0.50835200000000003</v>
      </c>
    </row>
    <row r="209" spans="1:17" ht="13.9" x14ac:dyDescent="0.25">
      <c r="A209" s="156" t="s">
        <v>20</v>
      </c>
      <c r="B209" s="156" t="s">
        <v>5</v>
      </c>
      <c r="C209" s="156">
        <v>8491</v>
      </c>
      <c r="D209">
        <v>647</v>
      </c>
      <c r="E209">
        <v>314</v>
      </c>
      <c r="F209">
        <v>0</v>
      </c>
      <c r="G209">
        <v>569</v>
      </c>
      <c r="H209">
        <v>2.0605099999999998</v>
      </c>
      <c r="I209">
        <v>1.95</v>
      </c>
      <c r="J209">
        <v>1.4805299999999999</v>
      </c>
      <c r="K209">
        <v>159.43700000000001</v>
      </c>
      <c r="L209">
        <v>0.33676499999999998</v>
      </c>
      <c r="M209">
        <v>0.56699999999999995</v>
      </c>
      <c r="N209">
        <v>0.772675</v>
      </c>
      <c r="O209">
        <v>0.74399999999999999</v>
      </c>
      <c r="P209">
        <v>2.2999999999999998</v>
      </c>
      <c r="Q209">
        <v>-0.121951</v>
      </c>
    </row>
    <row r="210" spans="1:17" ht="13.9" x14ac:dyDescent="0.25">
      <c r="A210" s="156" t="s">
        <v>20</v>
      </c>
      <c r="B210" s="156" t="s">
        <v>0</v>
      </c>
      <c r="C210" s="156">
        <v>11863</v>
      </c>
      <c r="D210">
        <v>305372</v>
      </c>
      <c r="E210">
        <v>123487</v>
      </c>
      <c r="F210">
        <v>4097</v>
      </c>
      <c r="G210">
        <v>146936</v>
      </c>
      <c r="H210">
        <v>2.4729100000000002</v>
      </c>
      <c r="I210">
        <v>1.95</v>
      </c>
      <c r="J210">
        <v>1.0712900000000001</v>
      </c>
      <c r="K210">
        <v>11164.7</v>
      </c>
      <c r="L210">
        <v>8.2915500000000003E-2</v>
      </c>
      <c r="M210">
        <v>0.56699999999999995</v>
      </c>
      <c r="N210">
        <v>0.772675</v>
      </c>
      <c r="O210">
        <v>0.74399999999999999</v>
      </c>
      <c r="P210">
        <v>2.2999999999999998</v>
      </c>
      <c r="Q210">
        <v>-0.38345200000000002</v>
      </c>
    </row>
    <row r="211" spans="1:17" ht="13.9" x14ac:dyDescent="0.25">
      <c r="A211" s="156" t="s">
        <v>20</v>
      </c>
      <c r="B211" s="156" t="s">
        <v>872</v>
      </c>
      <c r="C211" s="156">
        <v>5294</v>
      </c>
      <c r="D211">
        <v>300</v>
      </c>
      <c r="E211">
        <v>118</v>
      </c>
      <c r="F211">
        <v>0</v>
      </c>
      <c r="G211">
        <v>137</v>
      </c>
      <c r="H211">
        <v>2.54237</v>
      </c>
      <c r="I211">
        <v>1.95</v>
      </c>
      <c r="J211">
        <v>1.4805299999999999</v>
      </c>
      <c r="K211">
        <v>73.927400000000006</v>
      </c>
      <c r="L211">
        <v>0.38518400000000003</v>
      </c>
      <c r="M211">
        <v>0.56699999999999995</v>
      </c>
      <c r="N211">
        <v>0.772675</v>
      </c>
      <c r="O211">
        <v>0.74399999999999999</v>
      </c>
      <c r="P211">
        <v>2.2999999999999998</v>
      </c>
      <c r="Q211">
        <v>1.09026</v>
      </c>
    </row>
    <row r="212" spans="1:17" ht="13.9" x14ac:dyDescent="0.25">
      <c r="A212" s="156" t="s">
        <v>20</v>
      </c>
      <c r="B212" s="156" t="s">
        <v>873</v>
      </c>
      <c r="C212" s="156">
        <v>8514</v>
      </c>
      <c r="D212">
        <v>303</v>
      </c>
      <c r="E212">
        <v>136</v>
      </c>
      <c r="F212">
        <v>0</v>
      </c>
      <c r="G212">
        <v>174</v>
      </c>
      <c r="H212">
        <v>2.2279399999999998</v>
      </c>
      <c r="I212">
        <v>1.95</v>
      </c>
      <c r="J212">
        <v>1.33748</v>
      </c>
      <c r="K212">
        <v>52.438699999999997</v>
      </c>
      <c r="L212">
        <v>0.27828000000000003</v>
      </c>
      <c r="M212">
        <v>0.56699999999999995</v>
      </c>
      <c r="N212">
        <v>0.772675</v>
      </c>
      <c r="O212">
        <v>0.74399999999999999</v>
      </c>
      <c r="P212">
        <v>2.2999999999999998</v>
      </c>
      <c r="Q212">
        <v>-0.48874600000000001</v>
      </c>
    </row>
    <row r="213" spans="1:17" ht="13.9" x14ac:dyDescent="0.25">
      <c r="A213" s="156" t="s">
        <v>20</v>
      </c>
      <c r="B213" s="156" t="s">
        <v>876</v>
      </c>
      <c r="C213" s="156">
        <v>9183</v>
      </c>
      <c r="D213">
        <v>333</v>
      </c>
      <c r="E213">
        <v>138</v>
      </c>
      <c r="F213">
        <v>0</v>
      </c>
      <c r="G213">
        <v>166</v>
      </c>
      <c r="H213">
        <v>2.4130400000000001</v>
      </c>
      <c r="I213">
        <v>1.95</v>
      </c>
      <c r="J213">
        <v>1.09961</v>
      </c>
      <c r="K213">
        <v>17.0107</v>
      </c>
      <c r="L213">
        <v>0.109739</v>
      </c>
      <c r="M213">
        <v>0.56699999999999995</v>
      </c>
      <c r="N213">
        <v>0.772675</v>
      </c>
      <c r="O213">
        <v>0.74399999999999999</v>
      </c>
      <c r="P213">
        <v>2.2999999999999998</v>
      </c>
      <c r="Q213">
        <v>-0.54655900000000002</v>
      </c>
    </row>
    <row r="214" spans="1:17" ht="13.9" x14ac:dyDescent="0.25">
      <c r="A214" s="156" t="s">
        <v>20</v>
      </c>
      <c r="B214" s="156" t="s">
        <v>874</v>
      </c>
      <c r="C214" s="156">
        <v>7359</v>
      </c>
      <c r="D214">
        <v>1130</v>
      </c>
      <c r="E214">
        <v>508</v>
      </c>
      <c r="F214">
        <v>0</v>
      </c>
      <c r="G214">
        <v>594</v>
      </c>
      <c r="H214">
        <v>2.2244100000000002</v>
      </c>
      <c r="I214">
        <v>1.95</v>
      </c>
      <c r="J214">
        <v>1.0443800000000001</v>
      </c>
      <c r="K214">
        <v>25.7194</v>
      </c>
      <c r="L214">
        <v>4.8189000000000003E-2</v>
      </c>
      <c r="M214">
        <v>0.56699999999999995</v>
      </c>
      <c r="N214">
        <v>0.772675</v>
      </c>
      <c r="O214">
        <v>0.74399999999999999</v>
      </c>
      <c r="P214">
        <v>2.2999999999999998</v>
      </c>
      <c r="Q214">
        <v>-0.78733799999999998</v>
      </c>
    </row>
    <row r="215" spans="1:17" ht="13.9" x14ac:dyDescent="0.25">
      <c r="A215" s="156" t="s">
        <v>20</v>
      </c>
      <c r="B215" s="156" t="s">
        <v>164</v>
      </c>
      <c r="C215" s="156">
        <v>3528</v>
      </c>
      <c r="D215">
        <v>816</v>
      </c>
      <c r="E215">
        <v>364</v>
      </c>
      <c r="F215">
        <v>0</v>
      </c>
      <c r="G215">
        <v>438</v>
      </c>
      <c r="H215">
        <v>2.2417600000000002</v>
      </c>
      <c r="I215">
        <v>1.95</v>
      </c>
      <c r="J215">
        <v>1.4805299999999999</v>
      </c>
      <c r="K215">
        <v>201.08199999999999</v>
      </c>
      <c r="L215">
        <v>0.355846</v>
      </c>
      <c r="M215">
        <v>0.56699999999999995</v>
      </c>
      <c r="N215">
        <v>0.772675</v>
      </c>
      <c r="O215">
        <v>0.74399999999999999</v>
      </c>
      <c r="P215">
        <v>2.2999999999999998</v>
      </c>
      <c r="Q215">
        <v>4.7656900000000002E-2</v>
      </c>
    </row>
    <row r="216" spans="1:17" ht="13.9" x14ac:dyDescent="0.25">
      <c r="A216" s="156" t="s">
        <v>20</v>
      </c>
      <c r="B216" s="156" t="s">
        <v>484</v>
      </c>
      <c r="C216" s="156">
        <v>923</v>
      </c>
      <c r="D216">
        <v>360</v>
      </c>
      <c r="E216">
        <v>148</v>
      </c>
      <c r="F216">
        <v>0</v>
      </c>
      <c r="G216">
        <v>160</v>
      </c>
      <c r="H216">
        <v>2.4324300000000001</v>
      </c>
      <c r="I216">
        <v>1.95</v>
      </c>
      <c r="J216">
        <v>1.09961</v>
      </c>
      <c r="K216">
        <v>18.389900000000001</v>
      </c>
      <c r="L216">
        <v>0.110523</v>
      </c>
      <c r="M216">
        <v>0.56699999999999995</v>
      </c>
      <c r="N216">
        <v>0.772675</v>
      </c>
      <c r="O216">
        <v>0.74399999999999999</v>
      </c>
      <c r="P216">
        <v>2.2999999999999998</v>
      </c>
      <c r="Q216">
        <v>-0.96679700000000002</v>
      </c>
    </row>
    <row r="217" spans="1:17" ht="13.9" x14ac:dyDescent="0.25">
      <c r="A217" s="156" t="s">
        <v>20</v>
      </c>
      <c r="B217" s="156" t="s">
        <v>482</v>
      </c>
      <c r="C217" s="156">
        <v>3590</v>
      </c>
      <c r="D217">
        <v>2130</v>
      </c>
      <c r="E217">
        <v>1046</v>
      </c>
      <c r="F217">
        <v>0</v>
      </c>
      <c r="G217">
        <v>1589</v>
      </c>
      <c r="H217">
        <v>2.03633</v>
      </c>
      <c r="I217">
        <v>1.95</v>
      </c>
      <c r="J217">
        <v>1.00709</v>
      </c>
      <c r="K217">
        <v>7.7488299999999999</v>
      </c>
      <c r="L217">
        <v>7.3535800000000002E-3</v>
      </c>
      <c r="M217">
        <v>0.56699999999999995</v>
      </c>
      <c r="N217">
        <v>0.772675</v>
      </c>
      <c r="O217">
        <v>0.74399999999999999</v>
      </c>
      <c r="P217">
        <v>2.2999999999999998</v>
      </c>
      <c r="Q217">
        <v>-0.14807200000000001</v>
      </c>
    </row>
    <row r="218" spans="1:17" ht="13.9" x14ac:dyDescent="0.25">
      <c r="A218" s="156" t="s">
        <v>20</v>
      </c>
      <c r="B218" s="156" t="s">
        <v>482</v>
      </c>
      <c r="C218" s="156">
        <v>4668</v>
      </c>
      <c r="D218">
        <v>1540</v>
      </c>
      <c r="E218">
        <v>642</v>
      </c>
      <c r="F218">
        <v>4</v>
      </c>
      <c r="G218">
        <v>767</v>
      </c>
      <c r="H218">
        <v>2.3987500000000002</v>
      </c>
      <c r="I218">
        <v>1.95</v>
      </c>
      <c r="J218">
        <v>1.14455</v>
      </c>
      <c r="K218">
        <v>114.157</v>
      </c>
      <c r="L218">
        <v>0.15096999999999999</v>
      </c>
      <c r="M218">
        <v>0.56699999999999995</v>
      </c>
      <c r="N218">
        <v>0.772675</v>
      </c>
      <c r="O218">
        <v>0.74399999999999999</v>
      </c>
      <c r="P218">
        <v>2.2999999999999998</v>
      </c>
      <c r="Q218">
        <v>-0.427481</v>
      </c>
    </row>
    <row r="219" spans="1:17" ht="13.9" x14ac:dyDescent="0.25">
      <c r="A219" s="156" t="s">
        <v>20</v>
      </c>
      <c r="B219" s="156" t="s">
        <v>482</v>
      </c>
      <c r="C219" s="156">
        <v>6867</v>
      </c>
      <c r="D219">
        <v>1268</v>
      </c>
      <c r="E219">
        <v>697</v>
      </c>
      <c r="F219">
        <v>0</v>
      </c>
      <c r="G219">
        <v>1080</v>
      </c>
      <c r="H219">
        <v>1.8192299999999999</v>
      </c>
      <c r="I219">
        <v>1.95</v>
      </c>
      <c r="J219">
        <v>1.2938499999999999</v>
      </c>
      <c r="K219">
        <v>191.08</v>
      </c>
      <c r="L219">
        <v>0.21516099999999999</v>
      </c>
      <c r="M219">
        <v>0.56699999999999995</v>
      </c>
      <c r="N219">
        <v>0.772675</v>
      </c>
      <c r="O219">
        <v>0.74399999999999999</v>
      </c>
      <c r="P219">
        <v>2.2999999999999998</v>
      </c>
      <c r="Q219">
        <v>0.210843</v>
      </c>
    </row>
    <row r="220" spans="1:17" ht="13.9" x14ac:dyDescent="0.25">
      <c r="A220" s="156" t="s">
        <v>22</v>
      </c>
      <c r="B220" s="156" t="s">
        <v>489</v>
      </c>
      <c r="C220" s="156">
        <v>12964</v>
      </c>
      <c r="D220">
        <v>1736</v>
      </c>
      <c r="E220">
        <v>547</v>
      </c>
      <c r="F220">
        <v>0</v>
      </c>
      <c r="G220">
        <v>606</v>
      </c>
      <c r="H220">
        <v>3.17367</v>
      </c>
      <c r="I220">
        <v>1.95</v>
      </c>
      <c r="J220">
        <v>1.07056</v>
      </c>
      <c r="K220">
        <v>62.817399999999999</v>
      </c>
      <c r="L220">
        <v>0.10301</v>
      </c>
      <c r="M220">
        <v>0.56699999999999995</v>
      </c>
      <c r="N220">
        <v>0.772675</v>
      </c>
      <c r="O220">
        <v>0.65200000000000002</v>
      </c>
      <c r="P220">
        <v>2.2999999999999998</v>
      </c>
      <c r="Q220">
        <v>6.9822800000000004E-3</v>
      </c>
    </row>
    <row r="221" spans="1:17" ht="13.9" x14ac:dyDescent="0.25">
      <c r="A221" s="156" t="s">
        <v>22</v>
      </c>
      <c r="B221" s="156" t="s">
        <v>887</v>
      </c>
      <c r="C221" s="156">
        <v>7315</v>
      </c>
      <c r="D221">
        <v>583</v>
      </c>
      <c r="E221">
        <v>247</v>
      </c>
      <c r="F221">
        <v>458</v>
      </c>
      <c r="G221">
        <v>289</v>
      </c>
      <c r="H221">
        <v>2.3603200000000002</v>
      </c>
      <c r="I221">
        <v>1.95</v>
      </c>
      <c r="J221">
        <v>1.1970700000000001</v>
      </c>
      <c r="K221">
        <v>58.919800000000002</v>
      </c>
      <c r="L221">
        <v>0.19259899999999999</v>
      </c>
      <c r="M221">
        <v>0.56699999999999995</v>
      </c>
      <c r="N221">
        <v>0.772675</v>
      </c>
      <c r="O221">
        <v>0.65200000000000002</v>
      </c>
      <c r="P221">
        <v>2.2999999999999998</v>
      </c>
      <c r="Q221">
        <v>-0.44894400000000001</v>
      </c>
    </row>
    <row r="222" spans="1:17" ht="13.9" x14ac:dyDescent="0.25">
      <c r="A222" s="156" t="s">
        <v>22</v>
      </c>
      <c r="B222" s="156" t="s">
        <v>44</v>
      </c>
      <c r="C222" s="156">
        <v>7328</v>
      </c>
      <c r="D222">
        <v>2093</v>
      </c>
      <c r="E222">
        <v>1053</v>
      </c>
      <c r="F222">
        <v>0</v>
      </c>
      <c r="G222">
        <v>1383</v>
      </c>
      <c r="H222">
        <v>1.9876499999999999</v>
      </c>
      <c r="I222">
        <v>1.95</v>
      </c>
      <c r="J222">
        <v>1.06446</v>
      </c>
      <c r="K222">
        <v>69.188100000000006</v>
      </c>
      <c r="L222">
        <v>6.16547E-2</v>
      </c>
      <c r="M222">
        <v>0.56699999999999995</v>
      </c>
      <c r="N222">
        <v>0.772675</v>
      </c>
      <c r="O222">
        <v>0.65200000000000002</v>
      </c>
      <c r="P222">
        <v>2.2999999999999998</v>
      </c>
      <c r="Q222">
        <v>-3.0849499999999998E-2</v>
      </c>
    </row>
    <row r="223" spans="1:17" ht="13.9" x14ac:dyDescent="0.25">
      <c r="A223" s="156" t="s">
        <v>22</v>
      </c>
      <c r="B223" s="156" t="s">
        <v>51</v>
      </c>
      <c r="C223" s="156">
        <v>7187</v>
      </c>
      <c r="D223">
        <v>1884</v>
      </c>
      <c r="E223">
        <v>1089</v>
      </c>
      <c r="F223">
        <v>0</v>
      </c>
      <c r="G223">
        <v>1407</v>
      </c>
      <c r="H223">
        <v>1.73003</v>
      </c>
      <c r="I223">
        <v>1.95</v>
      </c>
      <c r="J223">
        <v>1.1408700000000001</v>
      </c>
      <c r="K223">
        <v>136.09899999999999</v>
      </c>
      <c r="L223">
        <v>0.111092</v>
      </c>
      <c r="M223">
        <v>0.56699999999999995</v>
      </c>
      <c r="N223">
        <v>0.772675</v>
      </c>
      <c r="O223">
        <v>0.65200000000000002</v>
      </c>
      <c r="P223">
        <v>2.2999999999999998</v>
      </c>
      <c r="Q223">
        <v>-0.13492999999999999</v>
      </c>
    </row>
    <row r="224" spans="1:17" ht="13.9" x14ac:dyDescent="0.25">
      <c r="A224" s="156" t="s">
        <v>22</v>
      </c>
      <c r="B224" s="156" t="s">
        <v>884</v>
      </c>
      <c r="C224" s="156">
        <v>6495</v>
      </c>
      <c r="D224">
        <v>323</v>
      </c>
      <c r="E224">
        <v>80</v>
      </c>
      <c r="F224">
        <v>0</v>
      </c>
      <c r="G224">
        <v>88</v>
      </c>
      <c r="H224">
        <v>4.0374999999999996</v>
      </c>
      <c r="I224">
        <v>1.95</v>
      </c>
      <c r="J224">
        <v>1.07439</v>
      </c>
      <c r="K224">
        <v>12.322699999999999</v>
      </c>
      <c r="L224">
        <v>0.13347400000000001</v>
      </c>
      <c r="M224">
        <v>0.56699999999999995</v>
      </c>
      <c r="N224">
        <v>0.772675</v>
      </c>
      <c r="O224">
        <v>0.65200000000000002</v>
      </c>
      <c r="P224">
        <v>2.2999999999999998</v>
      </c>
      <c r="Q224">
        <v>-0.57226399999999999</v>
      </c>
    </row>
    <row r="225" spans="1:17" ht="13.9" x14ac:dyDescent="0.25">
      <c r="A225" s="156" t="s">
        <v>22</v>
      </c>
      <c r="B225" s="156" t="s">
        <v>53</v>
      </c>
      <c r="C225" s="156">
        <v>7119</v>
      </c>
      <c r="D225">
        <v>37244</v>
      </c>
      <c r="E225">
        <v>14254</v>
      </c>
      <c r="F225">
        <v>1972</v>
      </c>
      <c r="G225">
        <v>16458</v>
      </c>
      <c r="H225">
        <v>2.6128800000000001</v>
      </c>
      <c r="I225">
        <v>1.95</v>
      </c>
      <c r="J225">
        <v>1.07664</v>
      </c>
      <c r="K225">
        <v>1463.82</v>
      </c>
      <c r="L225">
        <v>9.3131400000000003E-2</v>
      </c>
      <c r="M225">
        <v>0.56699999999999995</v>
      </c>
      <c r="N225">
        <v>0.772675</v>
      </c>
      <c r="O225">
        <v>0.65200000000000002</v>
      </c>
      <c r="P225">
        <v>2.2999999999999998</v>
      </c>
      <c r="Q225">
        <v>-0.205794</v>
      </c>
    </row>
    <row r="226" spans="1:17" ht="13.9" x14ac:dyDescent="0.25">
      <c r="A226" s="156" t="s">
        <v>22</v>
      </c>
      <c r="B226" s="156" t="s">
        <v>55</v>
      </c>
      <c r="C226" s="156">
        <v>341</v>
      </c>
      <c r="D226">
        <v>25093</v>
      </c>
      <c r="E226">
        <v>9214</v>
      </c>
      <c r="F226">
        <v>1249</v>
      </c>
      <c r="G226">
        <v>10391</v>
      </c>
      <c r="H226">
        <v>2.72336</v>
      </c>
      <c r="I226">
        <v>1.95</v>
      </c>
      <c r="J226">
        <v>1.0542899999999999</v>
      </c>
      <c r="K226">
        <v>698.60199999999998</v>
      </c>
      <c r="L226">
        <v>7.04761E-2</v>
      </c>
      <c r="M226">
        <v>0.56699999999999995</v>
      </c>
      <c r="N226">
        <v>0.772675</v>
      </c>
      <c r="O226">
        <v>0.65200000000000002</v>
      </c>
      <c r="P226">
        <v>2.2999999999999998</v>
      </c>
      <c r="Q226">
        <v>0.313726</v>
      </c>
    </row>
    <row r="227" spans="1:17" ht="13.9" x14ac:dyDescent="0.25">
      <c r="A227" s="156" t="s">
        <v>22</v>
      </c>
      <c r="B227" s="156" t="s">
        <v>66</v>
      </c>
      <c r="C227" s="156">
        <v>5750</v>
      </c>
      <c r="D227">
        <v>8906</v>
      </c>
      <c r="E227">
        <v>3062</v>
      </c>
      <c r="F227">
        <v>70</v>
      </c>
      <c r="G227">
        <v>4242</v>
      </c>
      <c r="H227">
        <v>2.90856</v>
      </c>
      <c r="I227">
        <v>1.95</v>
      </c>
      <c r="J227">
        <v>1.22095</v>
      </c>
      <c r="K227">
        <v>1009.13</v>
      </c>
      <c r="L227">
        <v>0.24787500000000001</v>
      </c>
      <c r="M227">
        <v>0.56699999999999995</v>
      </c>
      <c r="N227">
        <v>0.772675</v>
      </c>
      <c r="O227">
        <v>0.65200000000000002</v>
      </c>
      <c r="P227">
        <v>2.2999999999999998</v>
      </c>
      <c r="Q227">
        <v>0.324299</v>
      </c>
    </row>
    <row r="228" spans="1:17" ht="13.9" x14ac:dyDescent="0.25">
      <c r="A228" s="156" t="s">
        <v>22</v>
      </c>
      <c r="B228" s="156" t="s">
        <v>69</v>
      </c>
      <c r="C228" s="156">
        <v>6920</v>
      </c>
      <c r="D228">
        <v>6628</v>
      </c>
      <c r="E228">
        <v>2126</v>
      </c>
      <c r="F228">
        <v>0</v>
      </c>
      <c r="G228">
        <v>2390</v>
      </c>
      <c r="H228">
        <v>3.1175899999999999</v>
      </c>
      <c r="I228">
        <v>1.95</v>
      </c>
      <c r="J228">
        <v>1.1085100000000001</v>
      </c>
      <c r="K228">
        <v>368.81599999999997</v>
      </c>
      <c r="L228">
        <v>0.14783299999999999</v>
      </c>
      <c r="M228">
        <v>0.56699999999999995</v>
      </c>
      <c r="N228">
        <v>0.772675</v>
      </c>
      <c r="O228">
        <v>0.65200000000000002</v>
      </c>
      <c r="P228">
        <v>2.2999999999999998</v>
      </c>
      <c r="Q228">
        <v>-0.45604800000000001</v>
      </c>
    </row>
    <row r="229" spans="1:17" ht="13.9" x14ac:dyDescent="0.25">
      <c r="A229" s="156" t="s">
        <v>22</v>
      </c>
      <c r="B229" s="156" t="s">
        <v>70</v>
      </c>
      <c r="C229" s="156">
        <v>645</v>
      </c>
      <c r="D229">
        <v>8375</v>
      </c>
      <c r="E229">
        <v>2907</v>
      </c>
      <c r="F229">
        <v>27</v>
      </c>
      <c r="G229">
        <v>3429</v>
      </c>
      <c r="H229">
        <v>2.8809800000000001</v>
      </c>
      <c r="I229">
        <v>1.95</v>
      </c>
      <c r="J229">
        <v>1.0701799999999999</v>
      </c>
      <c r="K229">
        <v>301.39299999999997</v>
      </c>
      <c r="L229">
        <v>9.3938800000000003E-2</v>
      </c>
      <c r="M229">
        <v>0.56699999999999995</v>
      </c>
      <c r="N229">
        <v>0.772675</v>
      </c>
      <c r="O229">
        <v>0.65200000000000002</v>
      </c>
      <c r="P229">
        <v>2.2999999999999998</v>
      </c>
      <c r="Q229">
        <v>-0.425678</v>
      </c>
    </row>
    <row r="230" spans="1:17" ht="13.9" x14ac:dyDescent="0.25">
      <c r="A230" s="156" t="s">
        <v>22</v>
      </c>
      <c r="B230" s="156" t="s">
        <v>71</v>
      </c>
      <c r="C230" s="156">
        <v>5870</v>
      </c>
      <c r="D230">
        <v>6420</v>
      </c>
      <c r="E230">
        <v>2614</v>
      </c>
      <c r="F230">
        <v>466</v>
      </c>
      <c r="G230">
        <v>3480</v>
      </c>
      <c r="H230">
        <v>2.45601</v>
      </c>
      <c r="I230">
        <v>1.95</v>
      </c>
      <c r="J230">
        <v>1.2116199999999999</v>
      </c>
      <c r="K230">
        <v>696.72500000000002</v>
      </c>
      <c r="L230">
        <v>0.21044499999999999</v>
      </c>
      <c r="M230">
        <v>0.56699999999999995</v>
      </c>
      <c r="N230">
        <v>0.772675</v>
      </c>
      <c r="O230">
        <v>0.65200000000000002</v>
      </c>
      <c r="P230">
        <v>2.2999999999999998</v>
      </c>
      <c r="Q230">
        <v>-0.124001</v>
      </c>
    </row>
    <row r="231" spans="1:17" ht="13.9" x14ac:dyDescent="0.25">
      <c r="A231" s="156" t="s">
        <v>22</v>
      </c>
      <c r="B231" s="156" t="s">
        <v>72</v>
      </c>
      <c r="C231" s="156">
        <v>8522</v>
      </c>
      <c r="D231">
        <v>33142</v>
      </c>
      <c r="E231">
        <v>11552</v>
      </c>
      <c r="F231">
        <v>192</v>
      </c>
      <c r="G231">
        <v>15282</v>
      </c>
      <c r="H231">
        <v>2.8689399999999998</v>
      </c>
      <c r="I231">
        <v>1.95</v>
      </c>
      <c r="J231">
        <v>1.1256200000000001</v>
      </c>
      <c r="K231">
        <v>2135.02</v>
      </c>
      <c r="L231">
        <v>0.15598899999999999</v>
      </c>
      <c r="M231">
        <v>0.56699999999999995</v>
      </c>
      <c r="N231">
        <v>0.772675</v>
      </c>
      <c r="O231">
        <v>0.65200000000000002</v>
      </c>
      <c r="P231">
        <v>2.2999999999999998</v>
      </c>
      <c r="Q231">
        <v>-0.31292999999999999</v>
      </c>
    </row>
    <row r="232" spans="1:17" ht="13.9" x14ac:dyDescent="0.25">
      <c r="A232" s="156" t="s">
        <v>22</v>
      </c>
      <c r="B232" s="156" t="s">
        <v>73</v>
      </c>
      <c r="C232" s="156">
        <v>6624</v>
      </c>
      <c r="D232">
        <v>10447</v>
      </c>
      <c r="E232">
        <v>4280</v>
      </c>
      <c r="F232">
        <v>1857</v>
      </c>
      <c r="G232">
        <v>5223</v>
      </c>
      <c r="H232">
        <v>2.44089</v>
      </c>
      <c r="I232">
        <v>1.95</v>
      </c>
      <c r="J232">
        <v>1.09744</v>
      </c>
      <c r="K232">
        <v>522.03899999999999</v>
      </c>
      <c r="L232">
        <v>0.108712</v>
      </c>
      <c r="M232">
        <v>0.56699999999999995</v>
      </c>
      <c r="N232">
        <v>0.772675</v>
      </c>
      <c r="O232">
        <v>0.65200000000000002</v>
      </c>
      <c r="P232">
        <v>2.2999999999999998</v>
      </c>
      <c r="Q232">
        <v>-0.229042</v>
      </c>
    </row>
    <row r="233" spans="1:17" ht="13.9" x14ac:dyDescent="0.25">
      <c r="A233" s="156" t="s">
        <v>22</v>
      </c>
      <c r="B233" s="156" t="s">
        <v>74</v>
      </c>
      <c r="C233" s="156">
        <v>4658</v>
      </c>
      <c r="D233">
        <v>27569</v>
      </c>
      <c r="E233">
        <v>11226</v>
      </c>
      <c r="F233">
        <v>352</v>
      </c>
      <c r="G233">
        <v>13492</v>
      </c>
      <c r="H233">
        <v>2.4558200000000001</v>
      </c>
      <c r="I233">
        <v>1.95</v>
      </c>
      <c r="J233">
        <v>1.1918500000000001</v>
      </c>
      <c r="K233">
        <v>2712.39</v>
      </c>
      <c r="L233">
        <v>0.19459899999999999</v>
      </c>
      <c r="M233">
        <v>0.56699999999999995</v>
      </c>
      <c r="N233">
        <v>0.772675</v>
      </c>
      <c r="O233">
        <v>0.65200000000000002</v>
      </c>
      <c r="P233">
        <v>2.2999999999999998</v>
      </c>
      <c r="Q233">
        <v>0.13119900000000001</v>
      </c>
    </row>
    <row r="234" spans="1:17" ht="13.9" x14ac:dyDescent="0.25">
      <c r="A234" s="156" t="s">
        <v>22</v>
      </c>
      <c r="B234" s="156" t="s">
        <v>75</v>
      </c>
      <c r="C234" s="156">
        <v>4912</v>
      </c>
      <c r="D234">
        <v>170772</v>
      </c>
      <c r="E234">
        <v>68809</v>
      </c>
      <c r="F234">
        <v>4178</v>
      </c>
      <c r="G234">
        <v>79712</v>
      </c>
      <c r="H234">
        <v>2.48183</v>
      </c>
      <c r="I234">
        <v>1.95</v>
      </c>
      <c r="J234">
        <v>1.0551999999999999</v>
      </c>
      <c r="K234">
        <v>4834.25</v>
      </c>
      <c r="L234">
        <v>6.56442E-2</v>
      </c>
      <c r="M234">
        <v>0.56699999999999995</v>
      </c>
      <c r="N234">
        <v>0.772675</v>
      </c>
      <c r="O234">
        <v>0.65200000000000002</v>
      </c>
      <c r="P234">
        <v>2.2999999999999998</v>
      </c>
      <c r="Q234">
        <v>0.22267400000000001</v>
      </c>
    </row>
    <row r="235" spans="1:17" ht="13.9" x14ac:dyDescent="0.25">
      <c r="A235" s="156" t="s">
        <v>22</v>
      </c>
      <c r="B235" s="156" t="s">
        <v>76</v>
      </c>
      <c r="C235" s="156">
        <v>6124</v>
      </c>
      <c r="D235">
        <v>8488</v>
      </c>
      <c r="E235">
        <v>3360</v>
      </c>
      <c r="F235">
        <v>0</v>
      </c>
      <c r="G235">
        <v>3952</v>
      </c>
      <c r="H235">
        <v>2.5261900000000002</v>
      </c>
      <c r="I235">
        <v>1.95</v>
      </c>
      <c r="J235">
        <v>1.0622400000000001</v>
      </c>
      <c r="K235">
        <v>270.92399999999998</v>
      </c>
      <c r="L235">
        <v>7.4615699999999993E-2</v>
      </c>
      <c r="M235">
        <v>0.56699999999999995</v>
      </c>
      <c r="N235">
        <v>0.772675</v>
      </c>
      <c r="O235">
        <v>0.65200000000000002</v>
      </c>
      <c r="P235">
        <v>2.2999999999999998</v>
      </c>
      <c r="Q235">
        <v>0.35047499999999998</v>
      </c>
    </row>
    <row r="236" spans="1:17" ht="13.9" x14ac:dyDescent="0.25">
      <c r="A236" s="156" t="s">
        <v>22</v>
      </c>
      <c r="B236" s="156" t="s">
        <v>35</v>
      </c>
      <c r="C236" s="156">
        <v>8468</v>
      </c>
      <c r="D236">
        <v>8227</v>
      </c>
      <c r="E236">
        <v>3077</v>
      </c>
      <c r="F236">
        <v>1847</v>
      </c>
      <c r="G236">
        <v>3574</v>
      </c>
      <c r="H236">
        <v>2.6737099999999998</v>
      </c>
      <c r="I236">
        <v>1.95</v>
      </c>
      <c r="J236">
        <v>1.12503</v>
      </c>
      <c r="K236">
        <v>527.49</v>
      </c>
      <c r="L236">
        <v>0.146342</v>
      </c>
      <c r="M236">
        <v>0.56699999999999995</v>
      </c>
      <c r="N236">
        <v>0.772675</v>
      </c>
      <c r="O236">
        <v>0.65200000000000002</v>
      </c>
      <c r="P236">
        <v>2.2999999999999998</v>
      </c>
      <c r="Q236">
        <v>-0.19209999999999999</v>
      </c>
    </row>
    <row r="237" spans="1:17" ht="13.9" x14ac:dyDescent="0.25">
      <c r="A237" s="156" t="s">
        <v>22</v>
      </c>
      <c r="B237" s="156" t="s">
        <v>94</v>
      </c>
      <c r="C237" s="156">
        <v>4607</v>
      </c>
      <c r="D237">
        <v>71834</v>
      </c>
      <c r="E237">
        <v>29695</v>
      </c>
      <c r="F237">
        <v>624</v>
      </c>
      <c r="G237">
        <v>35098</v>
      </c>
      <c r="H237">
        <v>2.41906</v>
      </c>
      <c r="I237">
        <v>1.95</v>
      </c>
      <c r="J237">
        <v>1.07328</v>
      </c>
      <c r="K237">
        <v>2699.34</v>
      </c>
      <c r="L237">
        <v>8.3327499999999999E-2</v>
      </c>
      <c r="M237">
        <v>0.56699999999999995</v>
      </c>
      <c r="N237">
        <v>0.772675</v>
      </c>
      <c r="O237">
        <v>0.65200000000000002</v>
      </c>
      <c r="P237">
        <v>2.2999999999999998</v>
      </c>
      <c r="Q237">
        <v>2.24017E-2</v>
      </c>
    </row>
    <row r="238" spans="1:17" ht="13.9" x14ac:dyDescent="0.25">
      <c r="A238" s="156" t="s">
        <v>22</v>
      </c>
      <c r="B238" s="156" t="s">
        <v>486</v>
      </c>
      <c r="C238" s="156">
        <v>4441</v>
      </c>
      <c r="D238">
        <v>1016</v>
      </c>
      <c r="E238">
        <v>288</v>
      </c>
      <c r="F238">
        <v>0</v>
      </c>
      <c r="G238">
        <v>307</v>
      </c>
      <c r="H238">
        <v>3.5277799999999999</v>
      </c>
      <c r="I238">
        <v>1.95</v>
      </c>
      <c r="J238">
        <v>1.07056</v>
      </c>
      <c r="K238">
        <v>36.764099999999999</v>
      </c>
      <c r="L238">
        <v>0.113202</v>
      </c>
      <c r="M238">
        <v>0.56699999999999995</v>
      </c>
      <c r="N238">
        <v>0.772675</v>
      </c>
      <c r="O238">
        <v>0.65200000000000002</v>
      </c>
      <c r="P238">
        <v>2.2999999999999998</v>
      </c>
      <c r="Q238">
        <v>-1.28041</v>
      </c>
    </row>
    <row r="239" spans="1:17" ht="13.9" x14ac:dyDescent="0.25">
      <c r="A239" s="156" t="s">
        <v>22</v>
      </c>
      <c r="B239" s="156" t="s">
        <v>486</v>
      </c>
      <c r="C239" s="156">
        <v>7333</v>
      </c>
      <c r="D239">
        <v>710</v>
      </c>
      <c r="E239">
        <v>243</v>
      </c>
      <c r="F239">
        <v>0</v>
      </c>
      <c r="G239">
        <v>344</v>
      </c>
      <c r="H239">
        <v>2.9218099999999998</v>
      </c>
      <c r="I239">
        <v>1.95</v>
      </c>
      <c r="J239">
        <v>1.1217299999999999</v>
      </c>
      <c r="K239">
        <v>44.321800000000003</v>
      </c>
      <c r="L239">
        <v>0.15425900000000001</v>
      </c>
      <c r="M239">
        <v>0.56699999999999995</v>
      </c>
      <c r="N239">
        <v>0.772675</v>
      </c>
      <c r="O239">
        <v>0.65200000000000002</v>
      </c>
      <c r="P239">
        <v>2.2999999999999998</v>
      </c>
      <c r="Q239">
        <v>-0.65917300000000001</v>
      </c>
    </row>
    <row r="240" spans="1:17" ht="13.9" x14ac:dyDescent="0.25">
      <c r="A240" s="156" t="s">
        <v>22</v>
      </c>
      <c r="B240" s="156" t="s">
        <v>889</v>
      </c>
      <c r="C240" s="156">
        <v>8370</v>
      </c>
      <c r="D240">
        <v>325</v>
      </c>
      <c r="E240">
        <v>148</v>
      </c>
      <c r="F240">
        <v>0</v>
      </c>
      <c r="G240">
        <v>212</v>
      </c>
      <c r="H240">
        <v>2.1959499999999998</v>
      </c>
      <c r="I240">
        <v>1.95</v>
      </c>
      <c r="J240">
        <v>1.1851</v>
      </c>
      <c r="K240">
        <v>30.8505</v>
      </c>
      <c r="L240">
        <v>0.17249300000000001</v>
      </c>
      <c r="M240">
        <v>0.56699999999999995</v>
      </c>
      <c r="N240">
        <v>0.772675</v>
      </c>
      <c r="O240">
        <v>0.65200000000000002</v>
      </c>
      <c r="P240">
        <v>2.2999999999999998</v>
      </c>
      <c r="Q240">
        <v>-0.58348999999999995</v>
      </c>
    </row>
    <row r="241" spans="1:17" ht="13.9" x14ac:dyDescent="0.25">
      <c r="A241" s="156" t="s">
        <v>22</v>
      </c>
      <c r="B241" s="156" t="s">
        <v>892</v>
      </c>
      <c r="C241" s="156">
        <v>12655</v>
      </c>
      <c r="D241">
        <v>2227</v>
      </c>
      <c r="E241">
        <v>785</v>
      </c>
      <c r="F241">
        <v>0</v>
      </c>
      <c r="G241">
        <v>1685</v>
      </c>
      <c r="H241">
        <v>2.8369399999999998</v>
      </c>
      <c r="I241">
        <v>1.95</v>
      </c>
      <c r="J241">
        <v>1.1249800000000001</v>
      </c>
      <c r="K241">
        <v>142.73699999999999</v>
      </c>
      <c r="L241">
        <v>0.15385499999999999</v>
      </c>
      <c r="M241">
        <v>0.56699999999999995</v>
      </c>
      <c r="N241">
        <v>0.772675</v>
      </c>
      <c r="O241">
        <v>0.65200000000000002</v>
      </c>
      <c r="P241">
        <v>2.2999999999999998</v>
      </c>
      <c r="Q241">
        <v>-1.7962</v>
      </c>
    </row>
    <row r="242" spans="1:17" ht="13.9" x14ac:dyDescent="0.25">
      <c r="A242" s="156" t="s">
        <v>22</v>
      </c>
      <c r="B242" s="156" t="s">
        <v>483</v>
      </c>
      <c r="C242" s="156">
        <v>7653</v>
      </c>
      <c r="D242">
        <v>1542</v>
      </c>
      <c r="E242">
        <v>543</v>
      </c>
      <c r="F242">
        <v>0</v>
      </c>
      <c r="G242">
        <v>588</v>
      </c>
      <c r="H242">
        <v>2.8397800000000002</v>
      </c>
      <c r="I242">
        <v>1.95</v>
      </c>
      <c r="J242">
        <v>1.02294</v>
      </c>
      <c r="K242">
        <v>18.1434</v>
      </c>
      <c r="L242">
        <v>3.2332899999999998E-2</v>
      </c>
      <c r="M242">
        <v>0.56699999999999995</v>
      </c>
      <c r="N242">
        <v>0.772675</v>
      </c>
      <c r="O242">
        <v>0.65200000000000002</v>
      </c>
      <c r="P242">
        <v>2.2999999999999998</v>
      </c>
      <c r="Q242">
        <v>-0.45805499999999999</v>
      </c>
    </row>
    <row r="243" spans="1:17" ht="13.9" x14ac:dyDescent="0.25">
      <c r="A243" s="156" t="s">
        <v>22</v>
      </c>
      <c r="B243" s="156" t="s">
        <v>483</v>
      </c>
      <c r="C243" s="156">
        <v>7878</v>
      </c>
      <c r="D243">
        <v>3204</v>
      </c>
      <c r="E243">
        <v>1157</v>
      </c>
      <c r="F243">
        <v>3</v>
      </c>
      <c r="G243">
        <v>1276</v>
      </c>
      <c r="H243">
        <v>2.7692299999999999</v>
      </c>
      <c r="I243">
        <v>1.95</v>
      </c>
      <c r="J243">
        <v>1.06823</v>
      </c>
      <c r="K243">
        <v>112.101</v>
      </c>
      <c r="L243">
        <v>8.8330699999999998E-2</v>
      </c>
      <c r="M243">
        <v>0.56699999999999995</v>
      </c>
      <c r="N243">
        <v>0.772675</v>
      </c>
      <c r="O243">
        <v>0.65200000000000002</v>
      </c>
      <c r="P243">
        <v>2.2999999999999998</v>
      </c>
      <c r="Q243">
        <v>-0.43560700000000002</v>
      </c>
    </row>
    <row r="244" spans="1:17" ht="13.9" x14ac:dyDescent="0.25">
      <c r="A244" s="156" t="s">
        <v>22</v>
      </c>
      <c r="B244" s="156" t="s">
        <v>483</v>
      </c>
      <c r="C244" s="156">
        <v>9336</v>
      </c>
      <c r="D244">
        <v>1246</v>
      </c>
      <c r="E244">
        <v>507</v>
      </c>
      <c r="F244">
        <v>1</v>
      </c>
      <c r="G244">
        <v>585</v>
      </c>
      <c r="H244">
        <v>2.4575900000000002</v>
      </c>
      <c r="I244">
        <v>1.95</v>
      </c>
      <c r="J244">
        <v>1.06135</v>
      </c>
      <c r="K244">
        <v>39.204300000000003</v>
      </c>
      <c r="L244">
        <v>7.1775800000000001E-2</v>
      </c>
      <c r="M244">
        <v>0.56699999999999995</v>
      </c>
      <c r="N244">
        <v>0.772675</v>
      </c>
      <c r="O244">
        <v>0.65200000000000002</v>
      </c>
      <c r="P244">
        <v>2.2999999999999998</v>
      </c>
      <c r="Q244">
        <v>-0.40730699999999997</v>
      </c>
    </row>
    <row r="245" spans="1:17" ht="13.9" x14ac:dyDescent="0.25">
      <c r="A245" s="156" t="s">
        <v>22</v>
      </c>
      <c r="B245" s="156" t="s">
        <v>105</v>
      </c>
      <c r="C245" s="156">
        <v>1625</v>
      </c>
      <c r="D245">
        <v>1495</v>
      </c>
      <c r="E245">
        <v>824</v>
      </c>
      <c r="F245">
        <v>0</v>
      </c>
      <c r="G245">
        <v>1037</v>
      </c>
      <c r="H245">
        <v>1.8143199999999999</v>
      </c>
      <c r="I245">
        <v>1.95</v>
      </c>
      <c r="J245">
        <v>1.14069</v>
      </c>
      <c r="K245">
        <v>107.864</v>
      </c>
      <c r="L245">
        <v>0.11575100000000001</v>
      </c>
      <c r="M245">
        <v>0.56699999999999995</v>
      </c>
      <c r="N245">
        <v>0.772675</v>
      </c>
      <c r="O245">
        <v>0.65200000000000002</v>
      </c>
      <c r="P245">
        <v>2.2999999999999998</v>
      </c>
      <c r="Q245">
        <v>-0.13492999999999999</v>
      </c>
    </row>
    <row r="246" spans="1:17" ht="13.9" x14ac:dyDescent="0.25">
      <c r="A246" s="156" t="s">
        <v>22</v>
      </c>
      <c r="B246" s="156" t="s">
        <v>891</v>
      </c>
      <c r="C246" s="156">
        <v>8684</v>
      </c>
      <c r="D246">
        <v>993</v>
      </c>
      <c r="E246">
        <v>352</v>
      </c>
      <c r="F246">
        <v>0</v>
      </c>
      <c r="G246">
        <v>387</v>
      </c>
      <c r="H246">
        <v>2.8210199999999999</v>
      </c>
      <c r="I246">
        <v>1.95</v>
      </c>
      <c r="J246">
        <v>1.0542899999999999</v>
      </c>
      <c r="K246">
        <v>27.645600000000002</v>
      </c>
      <c r="L246">
        <v>7.2819599999999998E-2</v>
      </c>
      <c r="M246">
        <v>0.56699999999999995</v>
      </c>
      <c r="N246">
        <v>0.772675</v>
      </c>
      <c r="O246">
        <v>0.65200000000000002</v>
      </c>
      <c r="P246">
        <v>2.2999999999999998</v>
      </c>
      <c r="Q246">
        <v>-6.2351499999999997E-2</v>
      </c>
    </row>
    <row r="247" spans="1:17" ht="13.9" x14ac:dyDescent="0.25">
      <c r="A247" s="156" t="s">
        <v>22</v>
      </c>
      <c r="B247" s="156" t="s">
        <v>945</v>
      </c>
      <c r="C247" s="156">
        <v>6105</v>
      </c>
      <c r="D247">
        <v>222</v>
      </c>
      <c r="E247">
        <v>62</v>
      </c>
      <c r="F247">
        <v>0</v>
      </c>
      <c r="G247">
        <v>72</v>
      </c>
      <c r="H247">
        <v>3.5806499999999999</v>
      </c>
      <c r="I247">
        <v>1.95</v>
      </c>
      <c r="J247">
        <v>1.02294</v>
      </c>
      <c r="K247">
        <v>2.6120899999999998</v>
      </c>
      <c r="L247">
        <v>4.0427200000000003E-2</v>
      </c>
      <c r="M247">
        <v>0.56699999999999995</v>
      </c>
      <c r="N247">
        <v>0.772675</v>
      </c>
      <c r="O247">
        <v>0.65200000000000002</v>
      </c>
      <c r="P247">
        <v>2.2999999999999998</v>
      </c>
      <c r="Q247">
        <v>-0.73920300000000005</v>
      </c>
    </row>
    <row r="248" spans="1:17" ht="13.9" x14ac:dyDescent="0.25">
      <c r="A248" s="156" t="s">
        <v>22</v>
      </c>
      <c r="B248" s="156" t="s">
        <v>109</v>
      </c>
      <c r="C248" s="156">
        <v>5251</v>
      </c>
      <c r="D248">
        <v>2233</v>
      </c>
      <c r="E248">
        <v>968</v>
      </c>
      <c r="F248">
        <v>0</v>
      </c>
      <c r="G248">
        <v>1666</v>
      </c>
      <c r="H248">
        <v>2.3068200000000001</v>
      </c>
      <c r="I248">
        <v>1.95</v>
      </c>
      <c r="J248">
        <v>1.1256200000000001</v>
      </c>
      <c r="K248">
        <v>143.851</v>
      </c>
      <c r="L248">
        <v>0.12938</v>
      </c>
      <c r="M248">
        <v>0.56699999999999995</v>
      </c>
      <c r="N248">
        <v>0.772675</v>
      </c>
      <c r="O248">
        <v>0.65200000000000002</v>
      </c>
      <c r="P248">
        <v>2.2999999999999998</v>
      </c>
      <c r="Q248">
        <v>-0.44907000000000002</v>
      </c>
    </row>
    <row r="249" spans="1:17" ht="13.9" x14ac:dyDescent="0.25">
      <c r="A249" s="156" t="s">
        <v>22</v>
      </c>
      <c r="B249" s="156" t="s">
        <v>909</v>
      </c>
      <c r="C249" s="156">
        <v>12800</v>
      </c>
      <c r="D249">
        <v>144</v>
      </c>
      <c r="E249">
        <v>43</v>
      </c>
      <c r="F249">
        <v>0</v>
      </c>
      <c r="G249">
        <v>49</v>
      </c>
      <c r="H249">
        <v>3.34884</v>
      </c>
      <c r="I249">
        <v>1.95</v>
      </c>
      <c r="J249">
        <v>1.22095</v>
      </c>
      <c r="K249">
        <v>16.316500000000001</v>
      </c>
      <c r="L249">
        <v>0.27507599999999999</v>
      </c>
      <c r="M249">
        <v>0.56699999999999995</v>
      </c>
      <c r="N249">
        <v>0.772675</v>
      </c>
      <c r="O249">
        <v>0.65200000000000002</v>
      </c>
      <c r="P249">
        <v>2.2999999999999998</v>
      </c>
      <c r="Q249">
        <v>0.43300899999999998</v>
      </c>
    </row>
    <row r="250" spans="1:17" ht="13.9" x14ac:dyDescent="0.25">
      <c r="A250" s="156" t="s">
        <v>22</v>
      </c>
      <c r="B250" s="156" t="s">
        <v>886</v>
      </c>
      <c r="C250" s="156">
        <v>6893</v>
      </c>
      <c r="D250">
        <v>224</v>
      </c>
      <c r="E250">
        <v>124</v>
      </c>
      <c r="F250">
        <v>0</v>
      </c>
      <c r="G250">
        <v>183</v>
      </c>
      <c r="H250">
        <v>1.8064499999999999</v>
      </c>
      <c r="I250">
        <v>1.95</v>
      </c>
      <c r="J250">
        <v>1.14314</v>
      </c>
      <c r="K250">
        <v>16.442499999999999</v>
      </c>
      <c r="L250">
        <v>0.117077</v>
      </c>
      <c r="M250">
        <v>0.56699999999999995</v>
      </c>
      <c r="N250">
        <v>0.772675</v>
      </c>
      <c r="O250">
        <v>0.65200000000000002</v>
      </c>
      <c r="P250">
        <v>2.2999999999999998</v>
      </c>
      <c r="Q250">
        <v>0.10958900000000001</v>
      </c>
    </row>
    <row r="251" spans="1:17" ht="13.9" x14ac:dyDescent="0.25">
      <c r="A251" s="156" t="s">
        <v>22</v>
      </c>
      <c r="B251" s="156" t="s">
        <v>893</v>
      </c>
      <c r="C251" s="156">
        <v>12899</v>
      </c>
      <c r="D251">
        <v>1746</v>
      </c>
      <c r="E251">
        <v>852</v>
      </c>
      <c r="F251">
        <v>0</v>
      </c>
      <c r="G251">
        <v>1010</v>
      </c>
      <c r="H251">
        <v>2.0493000000000001</v>
      </c>
      <c r="I251">
        <v>1.95</v>
      </c>
      <c r="J251">
        <v>1.06446</v>
      </c>
      <c r="K251">
        <v>57.717399999999998</v>
      </c>
      <c r="L251">
        <v>6.3445399999999999E-2</v>
      </c>
      <c r="M251">
        <v>0.56699999999999995</v>
      </c>
      <c r="N251">
        <v>0.772675</v>
      </c>
      <c r="O251">
        <v>0.65200000000000002</v>
      </c>
      <c r="P251">
        <v>2.2999999999999998</v>
      </c>
      <c r="Q251">
        <v>-3.0849499999999998E-2</v>
      </c>
    </row>
    <row r="252" spans="1:17" ht="13.9" x14ac:dyDescent="0.25">
      <c r="A252" s="156" t="s">
        <v>22</v>
      </c>
      <c r="B252" s="156" t="s">
        <v>119</v>
      </c>
      <c r="C252" s="156">
        <v>2083</v>
      </c>
      <c r="D252">
        <v>498</v>
      </c>
      <c r="E252">
        <v>167</v>
      </c>
      <c r="F252">
        <v>0</v>
      </c>
      <c r="G252">
        <v>190</v>
      </c>
      <c r="H252">
        <v>2.98204</v>
      </c>
      <c r="I252">
        <v>1.95</v>
      </c>
      <c r="J252">
        <v>1.0542899999999999</v>
      </c>
      <c r="K252">
        <v>13.864599999999999</v>
      </c>
      <c r="L252">
        <v>7.6657199999999995E-2</v>
      </c>
      <c r="M252">
        <v>0.56699999999999995</v>
      </c>
      <c r="N252">
        <v>0.772675</v>
      </c>
      <c r="O252">
        <v>0.65200000000000002</v>
      </c>
      <c r="P252">
        <v>2.2999999999999998</v>
      </c>
      <c r="Q252">
        <v>-0.569828</v>
      </c>
    </row>
    <row r="253" spans="1:17" ht="13.9" x14ac:dyDescent="0.25">
      <c r="A253" s="156" t="s">
        <v>22</v>
      </c>
      <c r="B253" s="156" t="s">
        <v>119</v>
      </c>
      <c r="C253" s="156">
        <v>3214</v>
      </c>
      <c r="D253">
        <v>829</v>
      </c>
      <c r="E253">
        <v>276</v>
      </c>
      <c r="F253">
        <v>0</v>
      </c>
      <c r="G253">
        <v>304</v>
      </c>
      <c r="H253">
        <v>3.0036200000000002</v>
      </c>
      <c r="I253">
        <v>1.95</v>
      </c>
      <c r="J253">
        <v>1.07664</v>
      </c>
      <c r="K253">
        <v>32.582700000000003</v>
      </c>
      <c r="L253">
        <v>0.105588</v>
      </c>
      <c r="M253">
        <v>0.56699999999999995</v>
      </c>
      <c r="N253">
        <v>0.772675</v>
      </c>
      <c r="O253">
        <v>0.65200000000000002</v>
      </c>
      <c r="P253">
        <v>2.2999999999999998</v>
      </c>
      <c r="Q253">
        <v>-8.1699400000000005E-3</v>
      </c>
    </row>
    <row r="254" spans="1:17" ht="13.9" x14ac:dyDescent="0.25">
      <c r="A254" s="156" t="s">
        <v>22</v>
      </c>
      <c r="B254" s="156" t="s">
        <v>119</v>
      </c>
      <c r="C254" s="156">
        <v>6679</v>
      </c>
      <c r="D254">
        <v>246</v>
      </c>
      <c r="E254">
        <v>94</v>
      </c>
      <c r="F254">
        <v>0</v>
      </c>
      <c r="G254">
        <v>103</v>
      </c>
      <c r="H254">
        <v>2.6170200000000001</v>
      </c>
      <c r="I254">
        <v>1.95</v>
      </c>
      <c r="J254">
        <v>1.1256200000000001</v>
      </c>
      <c r="K254">
        <v>15.8474</v>
      </c>
      <c r="L254">
        <v>0.14426800000000001</v>
      </c>
      <c r="M254">
        <v>0.56699999999999995</v>
      </c>
      <c r="N254">
        <v>0.772675</v>
      </c>
      <c r="O254">
        <v>0.65200000000000002</v>
      </c>
      <c r="P254">
        <v>2.2999999999999998</v>
      </c>
      <c r="Q254">
        <v>-2.5196E-2</v>
      </c>
    </row>
    <row r="255" spans="1:17" ht="13.9" x14ac:dyDescent="0.25">
      <c r="A255" s="156" t="s">
        <v>22</v>
      </c>
      <c r="B255" s="156" t="s">
        <v>119</v>
      </c>
      <c r="C255" s="156">
        <v>9569</v>
      </c>
      <c r="D255">
        <v>800</v>
      </c>
      <c r="E255">
        <v>199</v>
      </c>
      <c r="F255">
        <v>0</v>
      </c>
      <c r="G255">
        <v>222</v>
      </c>
      <c r="H255">
        <v>4.0201000000000002</v>
      </c>
      <c r="I255">
        <v>1.95</v>
      </c>
      <c r="J255">
        <v>1.1256200000000001</v>
      </c>
      <c r="K255">
        <v>51.5364</v>
      </c>
      <c r="L255">
        <v>0.205704</v>
      </c>
      <c r="M255">
        <v>0.56699999999999995</v>
      </c>
      <c r="N255">
        <v>0.772675</v>
      </c>
      <c r="O255">
        <v>0.65200000000000002</v>
      </c>
      <c r="P255">
        <v>2.2999999999999998</v>
      </c>
      <c r="Q255">
        <v>-0.44907000000000002</v>
      </c>
    </row>
    <row r="256" spans="1:17" ht="13.9" x14ac:dyDescent="0.25">
      <c r="A256" s="156" t="s">
        <v>22</v>
      </c>
      <c r="B256" s="156" t="s">
        <v>882</v>
      </c>
      <c r="C256" s="156">
        <v>6308</v>
      </c>
      <c r="D256">
        <v>75</v>
      </c>
      <c r="E256">
        <v>40</v>
      </c>
      <c r="F256">
        <v>0</v>
      </c>
      <c r="G256">
        <v>66</v>
      </c>
      <c r="H256">
        <v>1.875</v>
      </c>
      <c r="I256">
        <v>1.95</v>
      </c>
      <c r="J256">
        <v>1.25708</v>
      </c>
      <c r="K256">
        <v>9.8876200000000001</v>
      </c>
      <c r="L256">
        <v>0.19819800000000001</v>
      </c>
      <c r="M256">
        <v>0.56699999999999995</v>
      </c>
      <c r="N256">
        <v>0.772675</v>
      </c>
      <c r="O256">
        <v>0.65200000000000002</v>
      </c>
      <c r="P256">
        <v>2.2999999999999998</v>
      </c>
      <c r="Q256">
        <v>0.16</v>
      </c>
    </row>
    <row r="257" spans="1:17" ht="13.9" x14ac:dyDescent="0.25">
      <c r="A257" s="156" t="s">
        <v>22</v>
      </c>
      <c r="B257" s="156" t="s">
        <v>123</v>
      </c>
      <c r="C257" s="156">
        <v>1616</v>
      </c>
      <c r="D257">
        <v>672</v>
      </c>
      <c r="E257">
        <v>398</v>
      </c>
      <c r="F257">
        <v>0</v>
      </c>
      <c r="G257">
        <v>614</v>
      </c>
      <c r="H257">
        <v>1.6884399999999999</v>
      </c>
      <c r="I257">
        <v>1.95</v>
      </c>
      <c r="J257">
        <v>1.1256200000000001</v>
      </c>
      <c r="K257">
        <v>43.290599999999998</v>
      </c>
      <c r="L257">
        <v>9.8099900000000004E-2</v>
      </c>
      <c r="M257">
        <v>0.56699999999999995</v>
      </c>
      <c r="N257">
        <v>0.772675</v>
      </c>
      <c r="O257">
        <v>0.65200000000000002</v>
      </c>
      <c r="P257">
        <v>2.2999999999999998</v>
      </c>
      <c r="Q257">
        <v>-0.103645</v>
      </c>
    </row>
    <row r="258" spans="1:17" ht="13.9" x14ac:dyDescent="0.25">
      <c r="A258" s="156" t="s">
        <v>22</v>
      </c>
      <c r="B258" s="156" t="s">
        <v>488</v>
      </c>
      <c r="C258" s="156">
        <v>7557</v>
      </c>
      <c r="D258">
        <v>476</v>
      </c>
      <c r="E258">
        <v>248</v>
      </c>
      <c r="F258">
        <v>0</v>
      </c>
      <c r="G258">
        <v>411</v>
      </c>
      <c r="H258">
        <v>1.9193499999999999</v>
      </c>
      <c r="I258">
        <v>1.95</v>
      </c>
      <c r="J258">
        <v>1.2116199999999999</v>
      </c>
      <c r="K258">
        <v>51.657499999999999</v>
      </c>
      <c r="L258">
        <v>0.17238800000000001</v>
      </c>
      <c r="M258">
        <v>0.56699999999999995</v>
      </c>
      <c r="N258">
        <v>0.772675</v>
      </c>
      <c r="O258">
        <v>0.65200000000000002</v>
      </c>
      <c r="P258">
        <v>2.2999999999999998</v>
      </c>
      <c r="Q258">
        <v>-0.12878300000000001</v>
      </c>
    </row>
    <row r="259" spans="1:17" ht="13.9" x14ac:dyDescent="0.25">
      <c r="A259" s="156" t="s">
        <v>22</v>
      </c>
      <c r="B259" s="156" t="s">
        <v>881</v>
      </c>
      <c r="C259" s="156">
        <v>6152</v>
      </c>
      <c r="D259">
        <v>336</v>
      </c>
      <c r="E259">
        <v>190</v>
      </c>
      <c r="F259">
        <v>0</v>
      </c>
      <c r="G259">
        <v>283</v>
      </c>
      <c r="H259">
        <v>1.7684200000000001</v>
      </c>
      <c r="I259">
        <v>1.95</v>
      </c>
      <c r="J259">
        <v>1.1444099999999999</v>
      </c>
      <c r="K259">
        <v>24.882300000000001</v>
      </c>
      <c r="L259">
        <v>0.115795</v>
      </c>
      <c r="M259">
        <v>0.56699999999999995</v>
      </c>
      <c r="N259">
        <v>0.772675</v>
      </c>
      <c r="O259">
        <v>0.65200000000000002</v>
      </c>
      <c r="P259">
        <v>2.2999999999999998</v>
      </c>
      <c r="Q259">
        <v>0.10958900000000001</v>
      </c>
    </row>
    <row r="260" spans="1:17" ht="13.9" x14ac:dyDescent="0.25">
      <c r="A260" s="156" t="s">
        <v>22</v>
      </c>
      <c r="B260" s="156" t="s">
        <v>203</v>
      </c>
      <c r="C260" s="156">
        <v>587</v>
      </c>
      <c r="D260">
        <v>193</v>
      </c>
      <c r="E260">
        <v>107</v>
      </c>
      <c r="F260">
        <v>0</v>
      </c>
      <c r="G260">
        <v>212</v>
      </c>
      <c r="H260">
        <v>1.8037399999999999</v>
      </c>
      <c r="I260">
        <v>1.95</v>
      </c>
      <c r="J260">
        <v>1.12503</v>
      </c>
      <c r="K260">
        <v>12.374599999999999</v>
      </c>
      <c r="L260">
        <v>0.103662</v>
      </c>
      <c r="M260">
        <v>0.56699999999999995</v>
      </c>
      <c r="N260">
        <v>0.772675</v>
      </c>
      <c r="O260">
        <v>0.65200000000000002</v>
      </c>
      <c r="P260">
        <v>2.2999999999999998</v>
      </c>
      <c r="Q260">
        <v>0.53072600000000003</v>
      </c>
    </row>
    <row r="261" spans="1:17" ht="13.9" x14ac:dyDescent="0.25">
      <c r="A261" s="156" t="s">
        <v>22</v>
      </c>
      <c r="B261" s="156" t="s">
        <v>34</v>
      </c>
      <c r="C261" s="156">
        <v>143</v>
      </c>
      <c r="D261">
        <v>321</v>
      </c>
      <c r="E261">
        <v>167</v>
      </c>
      <c r="F261">
        <v>0</v>
      </c>
      <c r="G261">
        <v>205</v>
      </c>
      <c r="H261">
        <v>1.9221600000000001</v>
      </c>
      <c r="I261">
        <v>1.95</v>
      </c>
      <c r="J261">
        <v>1.2273099999999999</v>
      </c>
      <c r="K261">
        <v>37.418599999999998</v>
      </c>
      <c r="L261">
        <v>0.18304899999999999</v>
      </c>
      <c r="M261">
        <v>0.56699999999999995</v>
      </c>
      <c r="N261">
        <v>0.772675</v>
      </c>
      <c r="O261">
        <v>0.65200000000000002</v>
      </c>
      <c r="P261">
        <v>2.2999999999999998</v>
      </c>
      <c r="Q261">
        <v>-0.16576099999999999</v>
      </c>
    </row>
    <row r="262" spans="1:17" ht="13.9" x14ac:dyDescent="0.25">
      <c r="A262" s="156" t="s">
        <v>22</v>
      </c>
      <c r="B262" s="156" t="s">
        <v>130</v>
      </c>
      <c r="C262" s="156">
        <v>8285</v>
      </c>
      <c r="D262">
        <v>133</v>
      </c>
      <c r="E262">
        <v>85</v>
      </c>
      <c r="F262">
        <v>0</v>
      </c>
      <c r="G262">
        <v>102</v>
      </c>
      <c r="H262">
        <v>1.56471</v>
      </c>
      <c r="I262">
        <v>1.95</v>
      </c>
      <c r="J262">
        <v>1.1217299999999999</v>
      </c>
      <c r="K262">
        <v>8.3025400000000005</v>
      </c>
      <c r="L262">
        <v>8.89852E-2</v>
      </c>
      <c r="M262">
        <v>0.56699999999999995</v>
      </c>
      <c r="N262">
        <v>0.772675</v>
      </c>
      <c r="O262">
        <v>0.65200000000000002</v>
      </c>
      <c r="P262">
        <v>2.2999999999999998</v>
      </c>
      <c r="Q262">
        <v>-0.65917300000000001</v>
      </c>
    </row>
    <row r="263" spans="1:17" ht="13.9" x14ac:dyDescent="0.25">
      <c r="A263" s="156" t="s">
        <v>22</v>
      </c>
      <c r="B263" s="156" t="s">
        <v>749</v>
      </c>
      <c r="C263" s="156">
        <v>6023</v>
      </c>
      <c r="D263">
        <v>219</v>
      </c>
      <c r="E263">
        <v>78</v>
      </c>
      <c r="F263">
        <v>0</v>
      </c>
      <c r="G263">
        <v>83</v>
      </c>
      <c r="H263">
        <v>2.80769</v>
      </c>
      <c r="I263">
        <v>1.95</v>
      </c>
      <c r="J263">
        <v>1.07664</v>
      </c>
      <c r="K263">
        <v>8.6074900000000003</v>
      </c>
      <c r="L263">
        <v>9.9385000000000001E-2</v>
      </c>
      <c r="M263">
        <v>0.56699999999999995</v>
      </c>
      <c r="N263">
        <v>0.772675</v>
      </c>
      <c r="O263">
        <v>0.65200000000000002</v>
      </c>
      <c r="P263">
        <v>2.2999999999999998</v>
      </c>
      <c r="Q263">
        <v>-0.82774000000000003</v>
      </c>
    </row>
    <row r="264" spans="1:17" ht="13.9" x14ac:dyDescent="0.25">
      <c r="A264" s="156" t="s">
        <v>22</v>
      </c>
      <c r="B264" s="156" t="s">
        <v>888</v>
      </c>
      <c r="C264" s="156">
        <v>7703</v>
      </c>
      <c r="D264">
        <v>291</v>
      </c>
      <c r="E264">
        <v>125</v>
      </c>
      <c r="F264">
        <v>0</v>
      </c>
      <c r="G264">
        <v>164</v>
      </c>
      <c r="H264">
        <v>2.3279999999999998</v>
      </c>
      <c r="I264">
        <v>1.95</v>
      </c>
      <c r="J264">
        <v>1.14242</v>
      </c>
      <c r="K264">
        <v>21.252800000000001</v>
      </c>
      <c r="L264">
        <v>0.145316</v>
      </c>
      <c r="M264">
        <v>0.56699999999999995</v>
      </c>
      <c r="N264">
        <v>0.772675</v>
      </c>
      <c r="O264">
        <v>0.65200000000000002</v>
      </c>
      <c r="P264">
        <v>2.2999999999999998</v>
      </c>
      <c r="Q264">
        <v>-0.58923999999999999</v>
      </c>
    </row>
    <row r="265" spans="1:17" ht="13.9" x14ac:dyDescent="0.25">
      <c r="A265" s="156" t="s">
        <v>22</v>
      </c>
      <c r="B265" s="156" t="s">
        <v>134</v>
      </c>
      <c r="C265" s="156">
        <v>3415</v>
      </c>
      <c r="D265">
        <v>1262</v>
      </c>
      <c r="E265">
        <v>624</v>
      </c>
      <c r="F265">
        <v>0</v>
      </c>
      <c r="G265">
        <v>734</v>
      </c>
      <c r="H265">
        <v>2.02244</v>
      </c>
      <c r="I265">
        <v>1.95</v>
      </c>
      <c r="J265">
        <v>1.06446</v>
      </c>
      <c r="K265">
        <v>41.717799999999997</v>
      </c>
      <c r="L265">
        <v>6.2665899999999997E-2</v>
      </c>
      <c r="M265">
        <v>0.56699999999999995</v>
      </c>
      <c r="N265">
        <v>0.772675</v>
      </c>
      <c r="O265">
        <v>0.65200000000000002</v>
      </c>
      <c r="P265">
        <v>2.2999999999999998</v>
      </c>
      <c r="Q265">
        <v>-0.50847500000000001</v>
      </c>
    </row>
    <row r="266" spans="1:17" ht="13.9" x14ac:dyDescent="0.25">
      <c r="A266" s="156" t="s">
        <v>22</v>
      </c>
      <c r="B266" s="156" t="s">
        <v>136</v>
      </c>
      <c r="C266" s="156">
        <v>4005</v>
      </c>
      <c r="D266">
        <v>3248</v>
      </c>
      <c r="E266">
        <v>1240</v>
      </c>
      <c r="F266">
        <v>229</v>
      </c>
      <c r="G266">
        <v>1557</v>
      </c>
      <c r="H266">
        <v>2.6193499999999998</v>
      </c>
      <c r="I266">
        <v>1.95</v>
      </c>
      <c r="J266">
        <v>1.1719200000000001</v>
      </c>
      <c r="K266">
        <v>286.36</v>
      </c>
      <c r="L266">
        <v>0.18761</v>
      </c>
      <c r="M266">
        <v>0.56699999999999995</v>
      </c>
      <c r="N266">
        <v>0.772675</v>
      </c>
      <c r="O266">
        <v>0.65200000000000002</v>
      </c>
      <c r="P266">
        <v>2.2999999999999998</v>
      </c>
      <c r="Q266">
        <v>-0.44894400000000001</v>
      </c>
    </row>
    <row r="267" spans="1:17" ht="13.9" x14ac:dyDescent="0.25">
      <c r="A267" s="156" t="s">
        <v>22</v>
      </c>
      <c r="B267" s="156" t="s">
        <v>946</v>
      </c>
      <c r="C267" s="156">
        <v>20598</v>
      </c>
      <c r="D267">
        <v>686</v>
      </c>
      <c r="E267">
        <v>313</v>
      </c>
      <c r="F267">
        <v>0</v>
      </c>
      <c r="G267">
        <v>394</v>
      </c>
      <c r="H267">
        <v>2.1916899999999999</v>
      </c>
      <c r="I267">
        <v>1.95</v>
      </c>
      <c r="J267">
        <v>1.06823</v>
      </c>
      <c r="K267">
        <v>24.0016</v>
      </c>
      <c r="L267">
        <v>7.1220900000000004E-2</v>
      </c>
      <c r="M267">
        <v>0.56699999999999995</v>
      </c>
      <c r="N267">
        <v>0.772675</v>
      </c>
      <c r="O267">
        <v>0.65200000000000002</v>
      </c>
      <c r="P267">
        <v>2.2999999999999998</v>
      </c>
      <c r="Q267">
        <v>-0.72536800000000001</v>
      </c>
    </row>
    <row r="268" spans="1:17" ht="13.9" x14ac:dyDescent="0.25">
      <c r="A268" s="156" t="s">
        <v>22</v>
      </c>
      <c r="B268" s="156" t="s">
        <v>930</v>
      </c>
      <c r="C268" s="156">
        <v>9128</v>
      </c>
      <c r="D268">
        <v>1177</v>
      </c>
      <c r="E268">
        <v>406</v>
      </c>
      <c r="F268">
        <v>0</v>
      </c>
      <c r="G268">
        <v>451</v>
      </c>
      <c r="H268">
        <v>2.8990100000000001</v>
      </c>
      <c r="I268">
        <v>1.95</v>
      </c>
      <c r="J268">
        <v>1.0542899999999999</v>
      </c>
      <c r="K268">
        <v>32.768300000000004</v>
      </c>
      <c r="L268">
        <v>7.4682399999999996E-2</v>
      </c>
      <c r="M268">
        <v>0.56699999999999995</v>
      </c>
      <c r="N268">
        <v>0.772675</v>
      </c>
      <c r="O268">
        <v>0.65200000000000002</v>
      </c>
      <c r="P268">
        <v>2.2999999999999998</v>
      </c>
      <c r="Q268">
        <v>-6.2351499999999997E-2</v>
      </c>
    </row>
    <row r="269" spans="1:17" ht="13.9" x14ac:dyDescent="0.25">
      <c r="A269" s="156" t="s">
        <v>22</v>
      </c>
      <c r="B269" s="156" t="s">
        <v>139</v>
      </c>
      <c r="C269" s="156">
        <v>8753</v>
      </c>
      <c r="D269">
        <v>693</v>
      </c>
      <c r="E269">
        <v>386</v>
      </c>
      <c r="F269">
        <v>0</v>
      </c>
      <c r="G269">
        <v>526</v>
      </c>
      <c r="H269">
        <v>1.7953399999999999</v>
      </c>
      <c r="I269">
        <v>1.95</v>
      </c>
      <c r="J269">
        <v>1.1256200000000001</v>
      </c>
      <c r="K269">
        <v>44.6434</v>
      </c>
      <c r="L269">
        <v>0.103667</v>
      </c>
      <c r="M269">
        <v>0.56699999999999995</v>
      </c>
      <c r="N269">
        <v>0.772675</v>
      </c>
      <c r="O269">
        <v>0.65200000000000002</v>
      </c>
      <c r="P269">
        <v>2.2999999999999998</v>
      </c>
      <c r="Q269">
        <v>0.10958900000000001</v>
      </c>
    </row>
    <row r="270" spans="1:17" ht="13.9" x14ac:dyDescent="0.25">
      <c r="A270" s="156" t="s">
        <v>22</v>
      </c>
      <c r="B270" s="156" t="s">
        <v>142</v>
      </c>
      <c r="C270" s="156">
        <v>6505</v>
      </c>
      <c r="D270">
        <v>50492</v>
      </c>
      <c r="E270">
        <v>18559</v>
      </c>
      <c r="F270">
        <v>10</v>
      </c>
      <c r="G270">
        <v>20743</v>
      </c>
      <c r="H270">
        <v>2.7206199999999998</v>
      </c>
      <c r="I270">
        <v>1.95</v>
      </c>
      <c r="J270">
        <v>1.05966</v>
      </c>
      <c r="K270">
        <v>1544.8</v>
      </c>
      <c r="L270">
        <v>7.6841000000000007E-2</v>
      </c>
      <c r="M270">
        <v>0.56699999999999995</v>
      </c>
      <c r="N270">
        <v>0.772675</v>
      </c>
      <c r="O270">
        <v>0.65200000000000002</v>
      </c>
      <c r="P270">
        <v>2.2999999999999998</v>
      </c>
      <c r="Q270">
        <v>-0.767459</v>
      </c>
    </row>
    <row r="271" spans="1:17" ht="13.9" x14ac:dyDescent="0.25">
      <c r="A271" s="156" t="s">
        <v>22</v>
      </c>
      <c r="B271" s="156" t="s">
        <v>142</v>
      </c>
      <c r="C271" s="156">
        <v>6506</v>
      </c>
      <c r="D271">
        <v>48309</v>
      </c>
      <c r="E271">
        <v>16885</v>
      </c>
      <c r="F271">
        <v>33</v>
      </c>
      <c r="G271">
        <v>18390</v>
      </c>
      <c r="H271">
        <v>2.8610600000000002</v>
      </c>
      <c r="I271">
        <v>1.95</v>
      </c>
      <c r="J271">
        <v>1.0461100000000001</v>
      </c>
      <c r="K271">
        <v>1142.2</v>
      </c>
      <c r="L271">
        <v>6.3359700000000005E-2</v>
      </c>
      <c r="M271">
        <v>0.56699999999999995</v>
      </c>
      <c r="N271">
        <v>0.772675</v>
      </c>
      <c r="O271">
        <v>0.65200000000000002</v>
      </c>
      <c r="P271">
        <v>2.2999999999999998</v>
      </c>
      <c r="Q271">
        <v>-0.79937800000000003</v>
      </c>
    </row>
    <row r="272" spans="1:17" ht="13.9" x14ac:dyDescent="0.25">
      <c r="A272" s="156" t="s">
        <v>22</v>
      </c>
      <c r="B272" s="156" t="s">
        <v>142</v>
      </c>
      <c r="C272" s="156">
        <v>6507</v>
      </c>
      <c r="D272">
        <v>16749</v>
      </c>
      <c r="E272">
        <v>6002</v>
      </c>
      <c r="F272">
        <v>0</v>
      </c>
      <c r="G272">
        <v>6896</v>
      </c>
      <c r="H272">
        <v>2.7905700000000002</v>
      </c>
      <c r="I272">
        <v>1.95</v>
      </c>
      <c r="J272">
        <v>1.02294</v>
      </c>
      <c r="K272">
        <v>197.071</v>
      </c>
      <c r="L272">
        <v>3.1790499999999999E-2</v>
      </c>
      <c r="M272">
        <v>0.56699999999999995</v>
      </c>
      <c r="N272">
        <v>0.772675</v>
      </c>
      <c r="O272">
        <v>0.65200000000000002</v>
      </c>
      <c r="P272">
        <v>2.2999999999999998</v>
      </c>
      <c r="Q272">
        <v>-0.60723199999999999</v>
      </c>
    </row>
    <row r="273" spans="1:17" ht="13.9" x14ac:dyDescent="0.25">
      <c r="A273" s="156" t="s">
        <v>22</v>
      </c>
      <c r="B273" s="156" t="s">
        <v>142</v>
      </c>
      <c r="C273" s="156">
        <v>6508</v>
      </c>
      <c r="D273">
        <v>6067</v>
      </c>
      <c r="E273">
        <v>2216</v>
      </c>
      <c r="F273">
        <v>1679</v>
      </c>
      <c r="G273">
        <v>2936</v>
      </c>
      <c r="H273">
        <v>2.7378200000000001</v>
      </c>
      <c r="I273">
        <v>1.95</v>
      </c>
      <c r="J273">
        <v>1.17144</v>
      </c>
      <c r="K273">
        <v>533.40099999999995</v>
      </c>
      <c r="L273">
        <v>0.19400600000000001</v>
      </c>
      <c r="M273">
        <v>0.56699999999999995</v>
      </c>
      <c r="N273">
        <v>0.772675</v>
      </c>
      <c r="O273">
        <v>0.65200000000000002</v>
      </c>
      <c r="P273">
        <v>2.2999999999999998</v>
      </c>
      <c r="Q273">
        <v>-0.441909</v>
      </c>
    </row>
    <row r="274" spans="1:17" ht="13.9" x14ac:dyDescent="0.25">
      <c r="A274" s="156" t="s">
        <v>22</v>
      </c>
      <c r="B274" s="156" t="s">
        <v>142</v>
      </c>
      <c r="C274" s="156">
        <v>6509</v>
      </c>
      <c r="D274">
        <v>34042</v>
      </c>
      <c r="E274">
        <v>12915</v>
      </c>
      <c r="F274">
        <v>0</v>
      </c>
      <c r="G274">
        <v>24427</v>
      </c>
      <c r="H274">
        <v>2.63585</v>
      </c>
      <c r="I274">
        <v>1.95</v>
      </c>
      <c r="J274">
        <v>1.17184</v>
      </c>
      <c r="K274">
        <v>2999.83</v>
      </c>
      <c r="L274">
        <v>0.18849299999999999</v>
      </c>
      <c r="M274">
        <v>0.56699999999999995</v>
      </c>
      <c r="N274">
        <v>0.772675</v>
      </c>
      <c r="O274">
        <v>0.65200000000000002</v>
      </c>
      <c r="P274">
        <v>2.2999999999999998</v>
      </c>
      <c r="Q274">
        <v>-0.52971999999999997</v>
      </c>
    </row>
    <row r="275" spans="1:17" ht="13.9" x14ac:dyDescent="0.25">
      <c r="A275" s="156" t="s">
        <v>22</v>
      </c>
      <c r="B275" s="156" t="s">
        <v>142</v>
      </c>
      <c r="C275" s="156">
        <v>8054</v>
      </c>
      <c r="D275">
        <v>9088</v>
      </c>
      <c r="E275">
        <v>3576</v>
      </c>
      <c r="F275">
        <v>57</v>
      </c>
      <c r="G275">
        <v>5134</v>
      </c>
      <c r="H275">
        <v>2.5413899999999998</v>
      </c>
      <c r="I275">
        <v>1.95</v>
      </c>
      <c r="J275">
        <v>1</v>
      </c>
      <c r="K275">
        <v>0</v>
      </c>
      <c r="L275">
        <v>0</v>
      </c>
      <c r="M275">
        <v>0.56699999999999995</v>
      </c>
      <c r="N275">
        <v>0.772675</v>
      </c>
      <c r="O275">
        <v>0.65200000000000002</v>
      </c>
      <c r="P275">
        <v>2.2999999999999998</v>
      </c>
      <c r="Q275">
        <v>-0.38777800000000001</v>
      </c>
    </row>
    <row r="276" spans="1:17" ht="13.9" x14ac:dyDescent="0.25">
      <c r="A276" s="156" t="s">
        <v>22</v>
      </c>
      <c r="B276" s="156" t="s">
        <v>142</v>
      </c>
      <c r="C276" s="156">
        <v>10141</v>
      </c>
      <c r="D276">
        <v>491</v>
      </c>
      <c r="E276">
        <v>175</v>
      </c>
      <c r="F276">
        <v>0</v>
      </c>
      <c r="G276">
        <v>349</v>
      </c>
      <c r="H276">
        <v>2.8057099999999999</v>
      </c>
      <c r="I276">
        <v>1.95</v>
      </c>
      <c r="J276">
        <v>1.1217299999999999</v>
      </c>
      <c r="K276">
        <v>30.650700000000001</v>
      </c>
      <c r="L276">
        <v>0.14904300000000001</v>
      </c>
      <c r="M276">
        <v>0.56699999999999995</v>
      </c>
      <c r="N276">
        <v>0.772675</v>
      </c>
      <c r="O276">
        <v>0.65200000000000002</v>
      </c>
      <c r="P276">
        <v>2.2999999999999998</v>
      </c>
      <c r="Q276">
        <v>-0.65917300000000001</v>
      </c>
    </row>
    <row r="277" spans="1:17" ht="13.9" x14ac:dyDescent="0.25">
      <c r="A277" s="156" t="s">
        <v>22</v>
      </c>
      <c r="B277" s="156" t="s">
        <v>879</v>
      </c>
      <c r="C277" s="156">
        <v>4175</v>
      </c>
      <c r="D277">
        <v>40</v>
      </c>
      <c r="E277">
        <v>20</v>
      </c>
      <c r="F277">
        <v>0</v>
      </c>
      <c r="G277">
        <v>21</v>
      </c>
      <c r="H277">
        <v>2</v>
      </c>
      <c r="I277">
        <v>1.95</v>
      </c>
      <c r="J277">
        <v>1.1217299999999999</v>
      </c>
      <c r="K277">
        <v>2.49701</v>
      </c>
      <c r="L277">
        <v>0.11099299999999999</v>
      </c>
      <c r="M277">
        <v>0.56699999999999995</v>
      </c>
      <c r="N277">
        <v>0.772675</v>
      </c>
      <c r="O277">
        <v>0.65200000000000002</v>
      </c>
      <c r="P277">
        <v>2.2999999999999998</v>
      </c>
      <c r="Q277">
        <v>-0.65917300000000001</v>
      </c>
    </row>
    <row r="278" spans="1:17" ht="13.9" x14ac:dyDescent="0.25">
      <c r="A278" s="156" t="s">
        <v>22</v>
      </c>
      <c r="B278" s="156" t="s">
        <v>880</v>
      </c>
      <c r="C278" s="156">
        <v>5868</v>
      </c>
      <c r="D278">
        <v>253</v>
      </c>
      <c r="E278">
        <v>121</v>
      </c>
      <c r="F278">
        <v>0</v>
      </c>
      <c r="G278">
        <v>298</v>
      </c>
      <c r="H278">
        <v>2.09091</v>
      </c>
      <c r="I278">
        <v>1.95</v>
      </c>
      <c r="J278">
        <v>1.2116199999999999</v>
      </c>
      <c r="K278">
        <v>27.456600000000002</v>
      </c>
      <c r="L278">
        <v>0.184947</v>
      </c>
      <c r="M278">
        <v>0.56699999999999995</v>
      </c>
      <c r="N278">
        <v>0.772675</v>
      </c>
      <c r="O278">
        <v>0.65200000000000002</v>
      </c>
      <c r="P278">
        <v>2.2999999999999998</v>
      </c>
      <c r="Q278">
        <v>-0.25873200000000002</v>
      </c>
    </row>
    <row r="279" spans="1:17" ht="13.9" x14ac:dyDescent="0.25">
      <c r="A279" s="156" t="s">
        <v>22</v>
      </c>
      <c r="B279" s="156" t="s">
        <v>907</v>
      </c>
      <c r="C279" s="156">
        <v>6156</v>
      </c>
      <c r="D279">
        <v>41</v>
      </c>
      <c r="E279">
        <v>16</v>
      </c>
      <c r="F279">
        <v>0</v>
      </c>
      <c r="G279">
        <v>19</v>
      </c>
      <c r="H279">
        <v>2.5625</v>
      </c>
      <c r="I279">
        <v>1.95</v>
      </c>
      <c r="J279">
        <v>1.05406</v>
      </c>
      <c r="K279">
        <v>1.1366499999999999</v>
      </c>
      <c r="L279">
        <v>6.6328399999999996E-2</v>
      </c>
      <c r="M279">
        <v>0.56699999999999995</v>
      </c>
      <c r="N279">
        <v>0.772675</v>
      </c>
      <c r="O279">
        <v>0.65200000000000002</v>
      </c>
      <c r="P279">
        <v>2.2999999999999998</v>
      </c>
      <c r="Q279">
        <v>1.5885800000000001</v>
      </c>
    </row>
    <row r="280" spans="1:17" ht="13.9" x14ac:dyDescent="0.25">
      <c r="A280" s="156" t="s">
        <v>22</v>
      </c>
      <c r="B280" s="156" t="s">
        <v>147</v>
      </c>
      <c r="C280" s="156">
        <v>8344</v>
      </c>
      <c r="D280">
        <v>1098</v>
      </c>
      <c r="E280">
        <v>551</v>
      </c>
      <c r="F280">
        <v>0</v>
      </c>
      <c r="G280">
        <v>780</v>
      </c>
      <c r="H280">
        <v>1.99274</v>
      </c>
      <c r="I280">
        <v>1.95</v>
      </c>
      <c r="J280">
        <v>1.1467499999999999</v>
      </c>
      <c r="K280">
        <v>82.629900000000006</v>
      </c>
      <c r="L280">
        <v>0.130407</v>
      </c>
      <c r="M280">
        <v>0.56699999999999995</v>
      </c>
      <c r="N280">
        <v>0.772675</v>
      </c>
      <c r="O280">
        <v>0.65200000000000002</v>
      </c>
      <c r="P280">
        <v>2.2999999999999998</v>
      </c>
      <c r="Q280">
        <v>0.10958900000000001</v>
      </c>
    </row>
    <row r="281" spans="1:17" ht="13.9" x14ac:dyDescent="0.25">
      <c r="A281" s="156" t="s">
        <v>22</v>
      </c>
      <c r="B281" s="156" t="s">
        <v>148</v>
      </c>
      <c r="C281" s="156">
        <v>6174</v>
      </c>
      <c r="D281">
        <v>454</v>
      </c>
      <c r="E281">
        <v>265</v>
      </c>
      <c r="F281">
        <v>0</v>
      </c>
      <c r="G281">
        <v>792</v>
      </c>
      <c r="H281">
        <v>1.7132099999999999</v>
      </c>
      <c r="I281">
        <v>1.95</v>
      </c>
      <c r="J281">
        <v>1.25708</v>
      </c>
      <c r="K281">
        <v>59.853000000000002</v>
      </c>
      <c r="L281">
        <v>0.18424599999999999</v>
      </c>
      <c r="M281">
        <v>0.56699999999999995</v>
      </c>
      <c r="N281">
        <v>0.772675</v>
      </c>
      <c r="O281">
        <v>0.65200000000000002</v>
      </c>
      <c r="P281">
        <v>2.2999999999999998</v>
      </c>
      <c r="Q281">
        <v>-8.7440400000000001E-2</v>
      </c>
    </row>
    <row r="282" spans="1:17" ht="13.9" x14ac:dyDescent="0.25">
      <c r="A282" s="156" t="s">
        <v>22</v>
      </c>
      <c r="B282" s="156" t="s">
        <v>485</v>
      </c>
      <c r="C282" s="156">
        <v>2410</v>
      </c>
      <c r="D282">
        <v>673</v>
      </c>
      <c r="E282">
        <v>287</v>
      </c>
      <c r="F282">
        <v>0</v>
      </c>
      <c r="G282">
        <v>328</v>
      </c>
      <c r="H282">
        <v>2.3449499999999999</v>
      </c>
      <c r="I282">
        <v>1.95</v>
      </c>
      <c r="J282">
        <v>1.05406</v>
      </c>
      <c r="K282">
        <v>18.657599999999999</v>
      </c>
      <c r="L282">
        <v>6.1040900000000002E-2</v>
      </c>
      <c r="M282">
        <v>0.56699999999999995</v>
      </c>
      <c r="N282">
        <v>0.772675</v>
      </c>
      <c r="O282">
        <v>0.65200000000000002</v>
      </c>
      <c r="P282">
        <v>2.2999999999999998</v>
      </c>
      <c r="Q282">
        <v>-0.39089800000000002</v>
      </c>
    </row>
    <row r="283" spans="1:17" ht="13.9" x14ac:dyDescent="0.25">
      <c r="A283" s="156" t="s">
        <v>22</v>
      </c>
      <c r="B283" s="156" t="s">
        <v>152</v>
      </c>
      <c r="C283" s="156">
        <v>99905</v>
      </c>
      <c r="D283">
        <v>4324</v>
      </c>
      <c r="E283">
        <v>1675</v>
      </c>
      <c r="F283">
        <v>0</v>
      </c>
      <c r="G283">
        <v>1962</v>
      </c>
      <c r="H283">
        <v>2.5814900000000001</v>
      </c>
      <c r="I283">
        <v>1.95</v>
      </c>
      <c r="J283">
        <v>1.06071</v>
      </c>
      <c r="K283">
        <v>134.625</v>
      </c>
      <c r="L283">
        <v>7.4393899999999999E-2</v>
      </c>
      <c r="M283">
        <v>0.56699999999999995</v>
      </c>
      <c r="N283">
        <v>0.772675</v>
      </c>
      <c r="O283">
        <v>0.65200000000000002</v>
      </c>
      <c r="P283">
        <v>2.2999999999999998</v>
      </c>
      <c r="Q283">
        <v>0.61194400000000004</v>
      </c>
    </row>
    <row r="284" spans="1:17" ht="13.9" x14ac:dyDescent="0.25">
      <c r="A284" s="156" t="s">
        <v>22</v>
      </c>
      <c r="B284" s="156" t="s">
        <v>155</v>
      </c>
      <c r="C284" s="156">
        <v>9557</v>
      </c>
      <c r="D284">
        <v>324</v>
      </c>
      <c r="E284">
        <v>179</v>
      </c>
      <c r="F284">
        <v>0</v>
      </c>
      <c r="G284">
        <v>326</v>
      </c>
      <c r="H284">
        <v>1.81006</v>
      </c>
      <c r="I284">
        <v>1.95</v>
      </c>
      <c r="J284">
        <v>1.2116199999999999</v>
      </c>
      <c r="K284">
        <v>35.161799999999999</v>
      </c>
      <c r="L284">
        <v>0.164183</v>
      </c>
      <c r="M284">
        <v>0.56699999999999995</v>
      </c>
      <c r="N284">
        <v>0.772675</v>
      </c>
      <c r="O284">
        <v>0.65200000000000002</v>
      </c>
      <c r="P284">
        <v>2.2999999999999998</v>
      </c>
      <c r="Q284">
        <v>-0.12878300000000001</v>
      </c>
    </row>
    <row r="285" spans="1:17" ht="13.9" x14ac:dyDescent="0.25">
      <c r="A285" s="156" t="s">
        <v>22</v>
      </c>
      <c r="B285" s="156" t="s">
        <v>908</v>
      </c>
      <c r="C285" s="156">
        <v>9341</v>
      </c>
      <c r="D285">
        <v>144</v>
      </c>
      <c r="E285">
        <v>43</v>
      </c>
      <c r="F285">
        <v>0</v>
      </c>
      <c r="G285">
        <v>49</v>
      </c>
      <c r="H285">
        <v>3.34884</v>
      </c>
      <c r="I285">
        <v>1.95</v>
      </c>
      <c r="J285">
        <v>1.22095</v>
      </c>
      <c r="K285">
        <v>16.316500000000001</v>
      </c>
      <c r="L285">
        <v>0.27507599999999999</v>
      </c>
      <c r="M285">
        <v>0.56699999999999995</v>
      </c>
      <c r="N285">
        <v>0.772675</v>
      </c>
      <c r="O285">
        <v>0.65200000000000002</v>
      </c>
      <c r="P285">
        <v>2.2999999999999998</v>
      </c>
      <c r="Q285">
        <v>0.43300899999999998</v>
      </c>
    </row>
    <row r="286" spans="1:17" ht="13.9" x14ac:dyDescent="0.25">
      <c r="A286" s="156" t="s">
        <v>22</v>
      </c>
      <c r="B286" s="156" t="s">
        <v>157</v>
      </c>
      <c r="C286" s="156">
        <v>8967</v>
      </c>
      <c r="D286">
        <v>562</v>
      </c>
      <c r="E286">
        <v>331</v>
      </c>
      <c r="F286">
        <v>0</v>
      </c>
      <c r="G286">
        <v>405</v>
      </c>
      <c r="H286">
        <v>1.6978899999999999</v>
      </c>
      <c r="I286">
        <v>1.95</v>
      </c>
      <c r="J286">
        <v>1.1256200000000001</v>
      </c>
      <c r="K286">
        <v>36.204300000000003</v>
      </c>
      <c r="L286">
        <v>9.8594500000000002E-2</v>
      </c>
      <c r="M286">
        <v>0.56699999999999995</v>
      </c>
      <c r="N286">
        <v>0.772675</v>
      </c>
      <c r="O286">
        <v>0.65200000000000002</v>
      </c>
      <c r="P286">
        <v>2.2999999999999998</v>
      </c>
      <c r="Q286">
        <v>-0.13492999999999999</v>
      </c>
    </row>
    <row r="287" spans="1:17" ht="13.9" x14ac:dyDescent="0.25">
      <c r="A287" s="156" t="s">
        <v>22</v>
      </c>
      <c r="B287" s="156" t="s">
        <v>158</v>
      </c>
      <c r="C287" s="156">
        <v>2449</v>
      </c>
      <c r="D287">
        <v>741</v>
      </c>
      <c r="E287">
        <v>412</v>
      </c>
      <c r="F287">
        <v>0</v>
      </c>
      <c r="G287">
        <v>512</v>
      </c>
      <c r="H287">
        <v>1.79854</v>
      </c>
      <c r="I287">
        <v>1.95</v>
      </c>
      <c r="J287">
        <v>1.1256200000000001</v>
      </c>
      <c r="K287">
        <v>47.735599999999998</v>
      </c>
      <c r="L287">
        <v>0.10383299999999999</v>
      </c>
      <c r="M287">
        <v>0.56699999999999995</v>
      </c>
      <c r="N287">
        <v>0.772675</v>
      </c>
      <c r="O287">
        <v>0.65200000000000002</v>
      </c>
      <c r="P287">
        <v>2.2999999999999998</v>
      </c>
      <c r="Q287">
        <v>0.10958900000000001</v>
      </c>
    </row>
    <row r="288" spans="1:17" ht="13.9" x14ac:dyDescent="0.25">
      <c r="A288" s="156" t="s">
        <v>22</v>
      </c>
      <c r="B288" s="156" t="s">
        <v>161</v>
      </c>
      <c r="C288" s="156">
        <v>7172</v>
      </c>
      <c r="D288">
        <v>270</v>
      </c>
      <c r="E288">
        <v>76</v>
      </c>
      <c r="F288">
        <v>0</v>
      </c>
      <c r="G288">
        <v>89</v>
      </c>
      <c r="H288">
        <v>3.5526300000000002</v>
      </c>
      <c r="I288">
        <v>1.95</v>
      </c>
      <c r="J288">
        <v>1.1085100000000001</v>
      </c>
      <c r="K288">
        <v>15.0242</v>
      </c>
      <c r="L288">
        <v>0.16505700000000001</v>
      </c>
      <c r="M288">
        <v>0.56699999999999995</v>
      </c>
      <c r="N288">
        <v>0.772675</v>
      </c>
      <c r="O288">
        <v>0.65200000000000002</v>
      </c>
      <c r="P288">
        <v>2.2999999999999998</v>
      </c>
      <c r="Q288">
        <v>-0.45604800000000001</v>
      </c>
    </row>
    <row r="289" spans="1:17" ht="13.9" x14ac:dyDescent="0.25">
      <c r="A289" s="156" t="s">
        <v>22</v>
      </c>
      <c r="B289" s="156" t="s">
        <v>163</v>
      </c>
      <c r="C289" s="156">
        <v>8399</v>
      </c>
      <c r="D289">
        <v>1166</v>
      </c>
      <c r="E289">
        <v>430</v>
      </c>
      <c r="F289">
        <v>0</v>
      </c>
      <c r="G289">
        <v>833</v>
      </c>
      <c r="H289">
        <v>2.71163</v>
      </c>
      <c r="I289">
        <v>1.95</v>
      </c>
      <c r="J289">
        <v>1.22095</v>
      </c>
      <c r="K289">
        <v>132.119</v>
      </c>
      <c r="L289">
        <v>0.235037</v>
      </c>
      <c r="M289">
        <v>0.56699999999999995</v>
      </c>
      <c r="N289">
        <v>0.772675</v>
      </c>
      <c r="O289">
        <v>0.65200000000000002</v>
      </c>
      <c r="P289">
        <v>2.2999999999999998</v>
      </c>
      <c r="Q289">
        <v>0.43300899999999998</v>
      </c>
    </row>
    <row r="290" spans="1:17" ht="13.9" x14ac:dyDescent="0.25">
      <c r="A290" s="156" t="s">
        <v>22</v>
      </c>
      <c r="B290" s="156" t="s">
        <v>885</v>
      </c>
      <c r="C290" s="156">
        <v>6597</v>
      </c>
      <c r="D290">
        <v>622</v>
      </c>
      <c r="E290">
        <v>353</v>
      </c>
      <c r="F290">
        <v>0</v>
      </c>
      <c r="G290">
        <v>454</v>
      </c>
      <c r="H290">
        <v>1.7620400000000001</v>
      </c>
      <c r="I290">
        <v>1.95</v>
      </c>
      <c r="J290">
        <v>1.1851</v>
      </c>
      <c r="K290">
        <v>59.043100000000003</v>
      </c>
      <c r="L290">
        <v>0.143294</v>
      </c>
      <c r="M290">
        <v>0.56699999999999995</v>
      </c>
      <c r="N290">
        <v>0.772675</v>
      </c>
      <c r="O290">
        <v>0.65200000000000002</v>
      </c>
      <c r="P290">
        <v>2.2999999999999998</v>
      </c>
      <c r="Q290">
        <v>-0.58348999999999995</v>
      </c>
    </row>
    <row r="291" spans="1:17" ht="13.9" x14ac:dyDescent="0.25">
      <c r="A291" s="156" t="s">
        <v>22</v>
      </c>
      <c r="B291" s="156" t="s">
        <v>166</v>
      </c>
      <c r="C291" s="156">
        <v>5893</v>
      </c>
      <c r="D291">
        <v>6021</v>
      </c>
      <c r="E291">
        <v>2225</v>
      </c>
      <c r="F291">
        <v>0</v>
      </c>
      <c r="G291">
        <v>2756</v>
      </c>
      <c r="H291">
        <v>2.70607</v>
      </c>
      <c r="I291">
        <v>1.95</v>
      </c>
      <c r="J291">
        <v>1.1222700000000001</v>
      </c>
      <c r="K291">
        <v>377.53199999999998</v>
      </c>
      <c r="L291">
        <v>0.145063</v>
      </c>
      <c r="M291">
        <v>0.56699999999999995</v>
      </c>
      <c r="N291">
        <v>0.772675</v>
      </c>
      <c r="O291">
        <v>0.65200000000000002</v>
      </c>
      <c r="P291">
        <v>2.2999999999999998</v>
      </c>
      <c r="Q291">
        <v>-0.260216</v>
      </c>
    </row>
    <row r="292" spans="1:17" ht="13.9" x14ac:dyDescent="0.25">
      <c r="A292" s="156" t="s">
        <v>22</v>
      </c>
      <c r="B292" s="156" t="s">
        <v>168</v>
      </c>
      <c r="C292" s="156">
        <v>2332</v>
      </c>
      <c r="D292">
        <v>1903</v>
      </c>
      <c r="E292">
        <v>761</v>
      </c>
      <c r="F292">
        <v>14</v>
      </c>
      <c r="G292">
        <v>959</v>
      </c>
      <c r="H292">
        <v>2.5006599999999999</v>
      </c>
      <c r="I292">
        <v>1.95</v>
      </c>
      <c r="J292">
        <v>1.16486</v>
      </c>
      <c r="K292">
        <v>160.88200000000001</v>
      </c>
      <c r="L292">
        <v>0.174514</v>
      </c>
      <c r="M292">
        <v>0.56699999999999995</v>
      </c>
      <c r="N292">
        <v>0.772675</v>
      </c>
      <c r="O292">
        <v>0.65200000000000002</v>
      </c>
      <c r="P292">
        <v>2.2999999999999998</v>
      </c>
      <c r="Q292">
        <v>-0.103645</v>
      </c>
    </row>
    <row r="293" spans="1:17" ht="13.9" x14ac:dyDescent="0.25">
      <c r="A293" s="156" t="s">
        <v>22</v>
      </c>
      <c r="B293" s="156" t="s">
        <v>883</v>
      </c>
      <c r="C293" s="156">
        <v>6314</v>
      </c>
      <c r="D293">
        <v>279</v>
      </c>
      <c r="E293">
        <v>144</v>
      </c>
      <c r="F293">
        <v>0</v>
      </c>
      <c r="G293">
        <v>220</v>
      </c>
      <c r="H293">
        <v>1.9375</v>
      </c>
      <c r="I293">
        <v>1.95</v>
      </c>
      <c r="J293">
        <v>1.25708</v>
      </c>
      <c r="K293">
        <v>36.7819</v>
      </c>
      <c r="L293">
        <v>0.20346</v>
      </c>
      <c r="M293">
        <v>0.56699999999999995</v>
      </c>
      <c r="N293">
        <v>0.772675</v>
      </c>
      <c r="O293">
        <v>0.65200000000000002</v>
      </c>
      <c r="P293">
        <v>2.2999999999999998</v>
      </c>
      <c r="Q293">
        <v>-0.260216</v>
      </c>
    </row>
    <row r="294" spans="1:17" ht="13.9" x14ac:dyDescent="0.25">
      <c r="A294" s="156" t="s">
        <v>22</v>
      </c>
      <c r="B294" s="156" t="s">
        <v>482</v>
      </c>
      <c r="C294" s="156">
        <v>13043</v>
      </c>
      <c r="D294">
        <v>2494</v>
      </c>
      <c r="E294">
        <v>1317</v>
      </c>
      <c r="F294">
        <v>0</v>
      </c>
      <c r="G294">
        <v>1677</v>
      </c>
      <c r="H294">
        <v>1.8936999999999999</v>
      </c>
      <c r="I294">
        <v>1.95</v>
      </c>
      <c r="J294">
        <v>1.05646</v>
      </c>
      <c r="K294">
        <v>72.212199999999996</v>
      </c>
      <c r="L294">
        <v>5.1980699999999998E-2</v>
      </c>
      <c r="M294">
        <v>0.56699999999999995</v>
      </c>
      <c r="N294">
        <v>0.772675</v>
      </c>
      <c r="O294">
        <v>0.65200000000000002</v>
      </c>
      <c r="P294">
        <v>2.2999999999999998</v>
      </c>
      <c r="Q294">
        <v>-0.487676</v>
      </c>
    </row>
    <row r="295" spans="1:17" ht="13.9" x14ac:dyDescent="0.25">
      <c r="A295" s="156" t="s">
        <v>22</v>
      </c>
      <c r="B295" s="156" t="s">
        <v>173</v>
      </c>
      <c r="C295" s="156">
        <v>9835</v>
      </c>
      <c r="D295">
        <v>280</v>
      </c>
      <c r="E295">
        <v>111</v>
      </c>
      <c r="F295">
        <v>0</v>
      </c>
      <c r="G295">
        <v>117</v>
      </c>
      <c r="H295">
        <v>2.5225200000000001</v>
      </c>
      <c r="I295">
        <v>1.95</v>
      </c>
      <c r="J295">
        <v>1.07664</v>
      </c>
      <c r="K295">
        <v>11.005000000000001</v>
      </c>
      <c r="L295">
        <v>9.0201199999999995E-2</v>
      </c>
      <c r="M295">
        <v>0.56699999999999995</v>
      </c>
      <c r="N295">
        <v>0.772675</v>
      </c>
      <c r="O295">
        <v>0.65200000000000002</v>
      </c>
      <c r="P295">
        <v>2.2999999999999998</v>
      </c>
      <c r="Q295">
        <v>-0.91044800000000004</v>
      </c>
    </row>
    <row r="296" spans="1:17" ht="13.9" x14ac:dyDescent="0.25">
      <c r="A296" s="156" t="s">
        <v>22</v>
      </c>
      <c r="B296" s="156" t="s">
        <v>174</v>
      </c>
      <c r="C296" s="156">
        <v>9807</v>
      </c>
      <c r="D296">
        <v>232</v>
      </c>
      <c r="E296">
        <v>105</v>
      </c>
      <c r="F296">
        <v>0</v>
      </c>
      <c r="G296">
        <v>161</v>
      </c>
      <c r="H296">
        <v>2.2095199999999999</v>
      </c>
      <c r="I296">
        <v>1.95</v>
      </c>
      <c r="J296">
        <v>1.25708</v>
      </c>
      <c r="K296">
        <v>30.585699999999999</v>
      </c>
      <c r="L296">
        <v>0.225582</v>
      </c>
      <c r="M296">
        <v>0.56699999999999995</v>
      </c>
      <c r="N296">
        <v>0.772675</v>
      </c>
      <c r="O296">
        <v>0.65200000000000002</v>
      </c>
      <c r="P296">
        <v>2.2999999999999998</v>
      </c>
      <c r="Q296">
        <v>0.16</v>
      </c>
    </row>
    <row r="297" spans="1:17" ht="13.9" x14ac:dyDescent="0.25">
      <c r="A297" s="156" t="s">
        <v>22</v>
      </c>
      <c r="B297" s="156" t="s">
        <v>894</v>
      </c>
      <c r="C297" s="156">
        <v>13167</v>
      </c>
      <c r="D297">
        <v>2062</v>
      </c>
      <c r="E297">
        <v>690</v>
      </c>
      <c r="F297">
        <v>0</v>
      </c>
      <c r="G297">
        <v>1554</v>
      </c>
      <c r="H297">
        <v>2.98841</v>
      </c>
      <c r="I297">
        <v>1.95</v>
      </c>
      <c r="J297">
        <v>1.1249800000000001</v>
      </c>
      <c r="K297">
        <v>132.16200000000001</v>
      </c>
      <c r="L297">
        <v>0.160749</v>
      </c>
      <c r="M297">
        <v>0.56699999999999995</v>
      </c>
      <c r="N297">
        <v>0.772675</v>
      </c>
      <c r="O297">
        <v>0.65200000000000002</v>
      </c>
      <c r="P297">
        <v>2.2999999999999998</v>
      </c>
      <c r="Q297">
        <v>-1.7962</v>
      </c>
    </row>
    <row r="298" spans="1:17" ht="13.9" x14ac:dyDescent="0.25">
      <c r="A298" s="156" t="s">
        <v>22</v>
      </c>
      <c r="B298" s="156" t="s">
        <v>487</v>
      </c>
      <c r="C298" s="156">
        <v>6208</v>
      </c>
      <c r="D298">
        <v>386</v>
      </c>
      <c r="E298">
        <v>195</v>
      </c>
      <c r="F298">
        <v>0</v>
      </c>
      <c r="G298">
        <v>319</v>
      </c>
      <c r="H298">
        <v>1.97949</v>
      </c>
      <c r="I298">
        <v>1.95</v>
      </c>
      <c r="J298">
        <v>1.2116199999999999</v>
      </c>
      <c r="K298">
        <v>41.890300000000003</v>
      </c>
      <c r="L298">
        <v>0.17683399999999999</v>
      </c>
      <c r="M298">
        <v>0.56699999999999995</v>
      </c>
      <c r="N298">
        <v>0.772675</v>
      </c>
      <c r="O298">
        <v>0.65200000000000002</v>
      </c>
      <c r="P298">
        <v>2.2999999999999998</v>
      </c>
      <c r="Q298">
        <v>-0.12878300000000001</v>
      </c>
    </row>
    <row r="299" spans="1:17" ht="13.9" x14ac:dyDescent="0.25">
      <c r="A299" s="156" t="s">
        <v>22</v>
      </c>
      <c r="B299" s="156" t="s">
        <v>890</v>
      </c>
      <c r="C299" s="156">
        <v>8536</v>
      </c>
      <c r="D299">
        <v>237</v>
      </c>
      <c r="E299">
        <v>141</v>
      </c>
      <c r="F299">
        <v>0</v>
      </c>
      <c r="G299">
        <v>220</v>
      </c>
      <c r="H299">
        <v>1.68085</v>
      </c>
      <c r="I299">
        <v>1.95</v>
      </c>
      <c r="J299">
        <v>1.09744</v>
      </c>
      <c r="K299">
        <v>11.843</v>
      </c>
      <c r="L299">
        <v>7.7484399999999995E-2</v>
      </c>
      <c r="M299">
        <v>0.56699999999999995</v>
      </c>
      <c r="N299">
        <v>0.772675</v>
      </c>
      <c r="O299">
        <v>0.65200000000000002</v>
      </c>
      <c r="P299">
        <v>2.2999999999999998</v>
      </c>
      <c r="Q299">
        <v>-0.13492999999999999</v>
      </c>
    </row>
    <row r="300" spans="1:17" ht="13.9" x14ac:dyDescent="0.25">
      <c r="A300" s="156" t="s">
        <v>23</v>
      </c>
      <c r="B300" s="156" t="s">
        <v>46</v>
      </c>
      <c r="C300" s="156">
        <v>7799</v>
      </c>
      <c r="D300">
        <v>778</v>
      </c>
      <c r="E300">
        <v>335</v>
      </c>
      <c r="F300">
        <v>0</v>
      </c>
      <c r="G300">
        <v>375</v>
      </c>
      <c r="H300">
        <v>2.32239</v>
      </c>
      <c r="I300">
        <v>1.95</v>
      </c>
      <c r="J300">
        <v>1.1275299999999999</v>
      </c>
      <c r="K300">
        <v>50.880400000000002</v>
      </c>
      <c r="L300">
        <v>0.131855</v>
      </c>
      <c r="M300">
        <v>0.56699999999999995</v>
      </c>
      <c r="N300">
        <v>0.772675</v>
      </c>
      <c r="O300">
        <v>0.67400000000000004</v>
      </c>
      <c r="P300">
        <v>2.2999999999999998</v>
      </c>
      <c r="Q300">
        <v>-0.33035700000000001</v>
      </c>
    </row>
    <row r="301" spans="1:17" ht="13.9" x14ac:dyDescent="0.25">
      <c r="A301" s="156" t="s">
        <v>23</v>
      </c>
      <c r="B301" s="156" t="s">
        <v>60</v>
      </c>
      <c r="C301" s="156">
        <v>6519</v>
      </c>
      <c r="D301">
        <v>9321</v>
      </c>
      <c r="E301">
        <v>3873</v>
      </c>
      <c r="F301">
        <v>360</v>
      </c>
      <c r="G301">
        <v>5259</v>
      </c>
      <c r="H301">
        <v>2.40666</v>
      </c>
      <c r="I301">
        <v>1.95</v>
      </c>
      <c r="J301">
        <v>1.15357</v>
      </c>
      <c r="K301">
        <v>734.08399999999995</v>
      </c>
      <c r="L301">
        <v>0.15933800000000001</v>
      </c>
      <c r="M301">
        <v>0.56699999999999995</v>
      </c>
      <c r="N301">
        <v>0.772675</v>
      </c>
      <c r="O301">
        <v>0.67400000000000004</v>
      </c>
      <c r="P301">
        <v>2.2999999999999998</v>
      </c>
      <c r="Q301">
        <v>-0.42970000000000003</v>
      </c>
    </row>
    <row r="302" spans="1:17" ht="13.9" x14ac:dyDescent="0.25">
      <c r="A302" s="156" t="s">
        <v>23</v>
      </c>
      <c r="B302" s="156" t="s">
        <v>61</v>
      </c>
      <c r="C302" s="156">
        <v>8193</v>
      </c>
      <c r="D302">
        <v>1154</v>
      </c>
      <c r="E302">
        <v>370</v>
      </c>
      <c r="F302">
        <v>0</v>
      </c>
      <c r="G302">
        <v>520</v>
      </c>
      <c r="H302">
        <v>3.1189200000000001</v>
      </c>
      <c r="I302">
        <v>1.95</v>
      </c>
      <c r="J302">
        <v>1</v>
      </c>
      <c r="K302">
        <v>0</v>
      </c>
      <c r="L302">
        <v>0</v>
      </c>
      <c r="M302">
        <v>0.56699999999999995</v>
      </c>
      <c r="N302">
        <v>0.772675</v>
      </c>
      <c r="O302">
        <v>0.67400000000000004</v>
      </c>
      <c r="P302">
        <v>2.2999999999999998</v>
      </c>
      <c r="Q302">
        <v>-0.64696100000000001</v>
      </c>
    </row>
    <row r="303" spans="1:17" ht="13.9" x14ac:dyDescent="0.25">
      <c r="A303" s="156" t="s">
        <v>23</v>
      </c>
      <c r="B303" s="156" t="s">
        <v>63</v>
      </c>
      <c r="C303" s="156">
        <v>10488</v>
      </c>
      <c r="D303">
        <v>965</v>
      </c>
      <c r="E303">
        <v>379</v>
      </c>
      <c r="F303">
        <v>0</v>
      </c>
      <c r="G303">
        <v>465</v>
      </c>
      <c r="H303">
        <v>2.54617</v>
      </c>
      <c r="I303">
        <v>1.95</v>
      </c>
      <c r="J303">
        <v>1.1248100000000001</v>
      </c>
      <c r="K303">
        <v>61.7654</v>
      </c>
      <c r="L303">
        <v>0.14013200000000001</v>
      </c>
      <c r="M303">
        <v>0.56699999999999995</v>
      </c>
      <c r="N303">
        <v>0.772675</v>
      </c>
      <c r="O303">
        <v>0.67400000000000004</v>
      </c>
      <c r="P303">
        <v>2.2999999999999998</v>
      </c>
      <c r="Q303">
        <v>-0.78544099999999994</v>
      </c>
    </row>
    <row r="304" spans="1:17" ht="13.9" x14ac:dyDescent="0.25">
      <c r="A304" s="156" t="s">
        <v>23</v>
      </c>
      <c r="B304" s="156" t="s">
        <v>91</v>
      </c>
      <c r="C304" s="156">
        <v>7185</v>
      </c>
      <c r="D304">
        <v>3011</v>
      </c>
      <c r="E304">
        <v>1151</v>
      </c>
      <c r="F304">
        <v>10</v>
      </c>
      <c r="G304">
        <v>1466</v>
      </c>
      <c r="H304">
        <v>2.61599</v>
      </c>
      <c r="I304">
        <v>1.95</v>
      </c>
      <c r="J304">
        <v>1.07186</v>
      </c>
      <c r="K304">
        <v>110.962</v>
      </c>
      <c r="L304">
        <v>8.7928400000000004E-2</v>
      </c>
      <c r="M304">
        <v>0.56699999999999995</v>
      </c>
      <c r="N304">
        <v>0.772675</v>
      </c>
      <c r="O304">
        <v>0.67400000000000004</v>
      </c>
      <c r="P304">
        <v>2.2999999999999998</v>
      </c>
      <c r="Q304">
        <v>-0.66073499999999996</v>
      </c>
    </row>
    <row r="305" spans="1:17" ht="13.9" x14ac:dyDescent="0.25">
      <c r="A305" s="156" t="s">
        <v>23</v>
      </c>
      <c r="B305" s="156" t="s">
        <v>92</v>
      </c>
      <c r="C305" s="156">
        <v>8135</v>
      </c>
      <c r="D305">
        <v>17137</v>
      </c>
      <c r="E305">
        <v>7554</v>
      </c>
      <c r="F305">
        <v>6608</v>
      </c>
      <c r="G305">
        <v>10361</v>
      </c>
      <c r="H305">
        <v>2.2686000000000002</v>
      </c>
      <c r="I305">
        <v>1.95</v>
      </c>
      <c r="J305">
        <v>1.1479600000000001</v>
      </c>
      <c r="K305">
        <v>1300.27</v>
      </c>
      <c r="L305">
        <v>0.14685200000000001</v>
      </c>
      <c r="M305">
        <v>0.56699999999999995</v>
      </c>
      <c r="N305">
        <v>0.772675</v>
      </c>
      <c r="O305">
        <v>0.67400000000000004</v>
      </c>
      <c r="P305">
        <v>2.2999999999999998</v>
      </c>
      <c r="Q305">
        <v>-0.47096700000000002</v>
      </c>
    </row>
    <row r="306" spans="1:17" ht="13.9" x14ac:dyDescent="0.25">
      <c r="A306" s="156" t="s">
        <v>23</v>
      </c>
      <c r="B306" s="156" t="s">
        <v>491</v>
      </c>
      <c r="C306" s="156">
        <v>13123</v>
      </c>
      <c r="D306">
        <v>108</v>
      </c>
      <c r="E306">
        <v>52</v>
      </c>
      <c r="F306">
        <v>0</v>
      </c>
      <c r="G306">
        <v>164</v>
      </c>
      <c r="H306">
        <v>2.0769199999999999</v>
      </c>
      <c r="I306">
        <v>1.95</v>
      </c>
      <c r="J306">
        <v>1.0651999999999999</v>
      </c>
      <c r="K306">
        <v>3.6113499999999998</v>
      </c>
      <c r="L306">
        <v>6.49391E-2</v>
      </c>
      <c r="M306">
        <v>0.56699999999999995</v>
      </c>
      <c r="N306">
        <v>0.772675</v>
      </c>
      <c r="O306">
        <v>0.67400000000000004</v>
      </c>
      <c r="P306">
        <v>2.2999999999999998</v>
      </c>
      <c r="Q306">
        <v>-0.66073499999999996</v>
      </c>
    </row>
    <row r="307" spans="1:17" ht="13.9" x14ac:dyDescent="0.25">
      <c r="A307" s="156" t="s">
        <v>23</v>
      </c>
      <c r="B307" s="156" t="s">
        <v>947</v>
      </c>
      <c r="C307" s="156">
        <v>20901</v>
      </c>
      <c r="D307">
        <v>329</v>
      </c>
      <c r="E307">
        <v>126</v>
      </c>
      <c r="F307">
        <v>0</v>
      </c>
      <c r="G307">
        <v>152</v>
      </c>
      <c r="H307">
        <v>2.61111</v>
      </c>
      <c r="I307">
        <v>1.95</v>
      </c>
      <c r="J307">
        <v>1.0404899999999999</v>
      </c>
      <c r="K307">
        <v>6.83223</v>
      </c>
      <c r="L307">
        <v>5.1435099999999997E-2</v>
      </c>
      <c r="M307">
        <v>0.56699999999999995</v>
      </c>
      <c r="N307">
        <v>0.772675</v>
      </c>
      <c r="O307">
        <v>0.67400000000000004</v>
      </c>
      <c r="P307">
        <v>2.2999999999999998</v>
      </c>
      <c r="Q307">
        <v>-0.61822200000000005</v>
      </c>
    </row>
    <row r="308" spans="1:17" ht="13.9" x14ac:dyDescent="0.25">
      <c r="A308" s="156" t="s">
        <v>23</v>
      </c>
      <c r="B308" s="156" t="s">
        <v>895</v>
      </c>
      <c r="C308" s="156">
        <v>12434</v>
      </c>
      <c r="D308">
        <v>125</v>
      </c>
      <c r="E308">
        <v>49</v>
      </c>
      <c r="F308">
        <v>0</v>
      </c>
      <c r="G308">
        <v>77</v>
      </c>
      <c r="H308">
        <v>2.5510199999999998</v>
      </c>
      <c r="I308">
        <v>1.95</v>
      </c>
      <c r="J308">
        <v>1.13609</v>
      </c>
      <c r="K308">
        <v>8.7235899999999997</v>
      </c>
      <c r="L308">
        <v>0.15112700000000001</v>
      </c>
      <c r="M308">
        <v>0.56699999999999995</v>
      </c>
      <c r="N308">
        <v>0.772675</v>
      </c>
      <c r="O308">
        <v>0.67400000000000004</v>
      </c>
      <c r="P308">
        <v>2.2999999999999998</v>
      </c>
      <c r="Q308">
        <v>-0.66073499999999996</v>
      </c>
    </row>
    <row r="309" spans="1:17" ht="13.9" x14ac:dyDescent="0.25">
      <c r="A309" s="156" t="s">
        <v>23</v>
      </c>
      <c r="B309" s="156" t="s">
        <v>121</v>
      </c>
      <c r="C309" s="156">
        <v>1368</v>
      </c>
      <c r="D309">
        <v>5120</v>
      </c>
      <c r="E309">
        <v>2266</v>
      </c>
      <c r="F309">
        <v>0</v>
      </c>
      <c r="G309">
        <v>3019</v>
      </c>
      <c r="H309">
        <v>2.25949</v>
      </c>
      <c r="I309">
        <v>1.95</v>
      </c>
      <c r="J309">
        <v>1.24353</v>
      </c>
      <c r="K309">
        <v>639.43299999999999</v>
      </c>
      <c r="L309">
        <v>0.220082</v>
      </c>
      <c r="M309">
        <v>0.56699999999999995</v>
      </c>
      <c r="N309">
        <v>0.772675</v>
      </c>
      <c r="O309">
        <v>0.67400000000000004</v>
      </c>
      <c r="P309">
        <v>2.2999999999999998</v>
      </c>
      <c r="Q309">
        <v>-0.66216200000000003</v>
      </c>
    </row>
    <row r="310" spans="1:17" ht="13.9" x14ac:dyDescent="0.25">
      <c r="A310" s="156" t="s">
        <v>23</v>
      </c>
      <c r="B310" s="156" t="s">
        <v>919</v>
      </c>
      <c r="C310" s="156">
        <v>12584</v>
      </c>
      <c r="D310">
        <v>26</v>
      </c>
      <c r="E310">
        <v>8</v>
      </c>
      <c r="F310">
        <v>0</v>
      </c>
      <c r="G310">
        <v>12</v>
      </c>
      <c r="H310">
        <v>3.25</v>
      </c>
      <c r="I310">
        <v>1.95</v>
      </c>
      <c r="J310">
        <v>1.0582499999999999</v>
      </c>
      <c r="K310">
        <v>0.77662699999999996</v>
      </c>
      <c r="L310">
        <v>8.8487999999999997E-2</v>
      </c>
      <c r="M310">
        <v>0.56699999999999995</v>
      </c>
      <c r="N310">
        <v>0.772675</v>
      </c>
      <c r="O310">
        <v>0.67400000000000004</v>
      </c>
      <c r="P310">
        <v>2.2999999999999998</v>
      </c>
      <c r="Q310">
        <v>-0.14594399999999999</v>
      </c>
    </row>
    <row r="311" spans="1:17" ht="13.9" x14ac:dyDescent="0.25">
      <c r="A311" s="156" t="s">
        <v>23</v>
      </c>
      <c r="B311" s="156" t="s">
        <v>931</v>
      </c>
      <c r="C311" s="156">
        <v>20721</v>
      </c>
      <c r="D311">
        <v>2435</v>
      </c>
      <c r="E311">
        <v>1127</v>
      </c>
      <c r="F311">
        <v>0</v>
      </c>
      <c r="G311">
        <v>1487</v>
      </c>
      <c r="H311">
        <v>2.1606000000000001</v>
      </c>
      <c r="I311">
        <v>1.95</v>
      </c>
      <c r="J311">
        <v>1.1248100000000001</v>
      </c>
      <c r="K311">
        <v>155.85400000000001</v>
      </c>
      <c r="L311">
        <v>0.12149</v>
      </c>
      <c r="M311">
        <v>0.56699999999999995</v>
      </c>
      <c r="N311">
        <v>0.772675</v>
      </c>
      <c r="O311">
        <v>0.67400000000000004</v>
      </c>
      <c r="P311">
        <v>2.2999999999999998</v>
      </c>
      <c r="Q311">
        <v>-0.377386</v>
      </c>
    </row>
    <row r="312" spans="1:17" ht="13.9" x14ac:dyDescent="0.25">
      <c r="A312" s="156" t="s">
        <v>23</v>
      </c>
      <c r="B312" s="156" t="s">
        <v>932</v>
      </c>
      <c r="C312" s="156">
        <v>20095</v>
      </c>
      <c r="D312">
        <v>868</v>
      </c>
      <c r="E312">
        <v>337</v>
      </c>
      <c r="F312">
        <v>0</v>
      </c>
      <c r="G312">
        <v>406</v>
      </c>
      <c r="H312">
        <v>2.5756700000000001</v>
      </c>
      <c r="I312">
        <v>1.95</v>
      </c>
      <c r="J312">
        <v>1.08501</v>
      </c>
      <c r="K312">
        <v>37.838099999999997</v>
      </c>
      <c r="L312">
        <v>0.10094500000000001</v>
      </c>
      <c r="M312">
        <v>0.56699999999999995</v>
      </c>
      <c r="N312">
        <v>0.772675</v>
      </c>
      <c r="O312">
        <v>0.67400000000000004</v>
      </c>
      <c r="P312">
        <v>2.2999999999999998</v>
      </c>
      <c r="Q312">
        <v>-0.46862100000000001</v>
      </c>
    </row>
    <row r="313" spans="1:17" ht="13.9" x14ac:dyDescent="0.25">
      <c r="A313" s="156" t="s">
        <v>23</v>
      </c>
      <c r="B313" s="156" t="s">
        <v>162</v>
      </c>
      <c r="C313" s="156">
        <v>13005</v>
      </c>
      <c r="D313">
        <v>53351</v>
      </c>
      <c r="E313">
        <v>29062</v>
      </c>
      <c r="F313">
        <v>18</v>
      </c>
      <c r="G313">
        <v>35866</v>
      </c>
      <c r="H313">
        <v>1.8357600000000001</v>
      </c>
      <c r="I313">
        <v>1.95</v>
      </c>
      <c r="J313">
        <v>1.0582499999999999</v>
      </c>
      <c r="K313">
        <v>1593.61</v>
      </c>
      <c r="L313">
        <v>5.1984200000000001E-2</v>
      </c>
      <c r="M313">
        <v>0.56699999999999995</v>
      </c>
      <c r="N313">
        <v>0.772675</v>
      </c>
      <c r="O313">
        <v>0.67400000000000004</v>
      </c>
      <c r="P313">
        <v>2.2999999999999998</v>
      </c>
      <c r="Q313">
        <v>-0.14257300000000001</v>
      </c>
    </row>
  </sheetData>
  <autoFilter ref="A7:Q315" xr:uid="{00000000-0009-0000-0000-000006000000}">
    <sortState xmlns:xlrd2="http://schemas.microsoft.com/office/spreadsheetml/2017/richdata2" ref="A8:Q313">
      <sortCondition ref="A7:A315"/>
    </sortState>
  </autoFilter>
  <conditionalFormatting sqref="A305:Q308 A8:Q303">
    <cfRule type="expression" dxfId="40" priority="3">
      <formula>MOD(ROW(),2)=0</formula>
    </cfRule>
  </conditionalFormatting>
  <conditionalFormatting sqref="A304:Q304">
    <cfRule type="expression" dxfId="39" priority="2">
      <formula>MOD(ROW(),2)=0</formula>
    </cfRule>
  </conditionalFormatting>
  <conditionalFormatting sqref="A309:Q313">
    <cfRule type="expression" dxfId="38" priority="1">
      <formula>MOD(ROW(),2)=0</formula>
    </cfRule>
  </conditionalFormatting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330"/>
  <sheetViews>
    <sheetView topLeftCell="G1" workbookViewId="0">
      <selection activeCell="Z8" sqref="Z8"/>
    </sheetView>
  </sheetViews>
  <sheetFormatPr defaultColWidth="9" defaultRowHeight="14.25" x14ac:dyDescent="0.2"/>
  <cols>
    <col min="1" max="1" width="6.375" style="120" customWidth="1"/>
    <col min="2" max="2" width="9.5" style="120" customWidth="1"/>
    <col min="3" max="4" width="23.625" style="120" customWidth="1"/>
    <col min="5" max="16" width="15.5" style="121" customWidth="1"/>
    <col min="17" max="24" width="9" style="120" customWidth="1"/>
    <col min="25" max="16384" width="9" style="120"/>
  </cols>
  <sheetData>
    <row r="1" spans="1:26" x14ac:dyDescent="0.2">
      <c r="A1" s="120" t="s">
        <v>937</v>
      </c>
    </row>
    <row r="2" spans="1:26" ht="20.25" x14ac:dyDescent="0.3">
      <c r="A2" s="122" t="s">
        <v>843</v>
      </c>
      <c r="B2" s="123"/>
      <c r="C2" s="124">
        <v>44207</v>
      </c>
    </row>
    <row r="3" spans="1:26" ht="15" thickBot="1" x14ac:dyDescent="0.25">
      <c r="B3" s="120">
        <v>1</v>
      </c>
      <c r="C3" s="120">
        <v>2</v>
      </c>
      <c r="D3" s="120">
        <v>3</v>
      </c>
      <c r="E3" s="120">
        <v>4</v>
      </c>
      <c r="F3" s="120">
        <v>5</v>
      </c>
      <c r="G3" s="120">
        <v>6</v>
      </c>
      <c r="H3" s="120">
        <v>7</v>
      </c>
      <c r="I3" s="120">
        <v>8</v>
      </c>
      <c r="J3" s="120">
        <v>9</v>
      </c>
      <c r="K3" s="120">
        <v>10</v>
      </c>
      <c r="L3" s="120">
        <v>11</v>
      </c>
      <c r="M3" s="120">
        <v>12</v>
      </c>
      <c r="N3" s="120">
        <v>13</v>
      </c>
      <c r="O3" s="120">
        <v>14</v>
      </c>
      <c r="P3" s="120">
        <v>15</v>
      </c>
      <c r="Q3" s="120">
        <v>16</v>
      </c>
      <c r="R3" s="120">
        <v>17</v>
      </c>
      <c r="S3" s="120">
        <v>18</v>
      </c>
      <c r="T3" s="120">
        <v>19</v>
      </c>
      <c r="U3" s="120">
        <v>20</v>
      </c>
      <c r="V3" s="120">
        <v>21</v>
      </c>
      <c r="W3" s="120">
        <v>22</v>
      </c>
      <c r="X3" s="120">
        <v>23</v>
      </c>
      <c r="Y3" s="120">
        <v>24</v>
      </c>
      <c r="Z3" s="120">
        <v>25</v>
      </c>
    </row>
    <row r="4" spans="1:26" s="128" customFormat="1" ht="15.75" thickBot="1" x14ac:dyDescent="0.3">
      <c r="A4" s="125" t="s">
        <v>10</v>
      </c>
      <c r="B4" s="126" t="s">
        <v>750</v>
      </c>
      <c r="C4" s="126" t="s">
        <v>751</v>
      </c>
      <c r="D4" s="126" t="s">
        <v>752</v>
      </c>
      <c r="E4" s="127">
        <v>2000</v>
      </c>
      <c r="F4" s="127">
        <v>2001</v>
      </c>
      <c r="G4" s="127">
        <v>2002</v>
      </c>
      <c r="H4" s="127">
        <v>2003</v>
      </c>
      <c r="I4" s="127">
        <v>2004</v>
      </c>
      <c r="J4" s="127">
        <v>2005</v>
      </c>
      <c r="K4" s="127">
        <v>2006</v>
      </c>
      <c r="L4" s="127">
        <v>2007</v>
      </c>
      <c r="M4" s="127">
        <v>2008</v>
      </c>
      <c r="N4" s="127">
        <v>2009</v>
      </c>
      <c r="O4" s="127">
        <v>2010</v>
      </c>
      <c r="P4" s="127">
        <v>2011</v>
      </c>
      <c r="Q4" s="127">
        <v>2012</v>
      </c>
      <c r="R4" s="127">
        <v>2013</v>
      </c>
      <c r="S4" s="127">
        <v>2014</v>
      </c>
      <c r="T4" s="127">
        <v>2015</v>
      </c>
      <c r="U4" s="127">
        <v>2016</v>
      </c>
      <c r="V4" s="127">
        <v>2017</v>
      </c>
      <c r="W4" s="127">
        <v>2018</v>
      </c>
      <c r="X4" s="127">
        <v>2019</v>
      </c>
      <c r="Y4" s="127">
        <v>2020</v>
      </c>
      <c r="Z4" s="127">
        <v>2021</v>
      </c>
    </row>
    <row r="5" spans="1:26" x14ac:dyDescent="0.2">
      <c r="A5" s="129" t="s">
        <v>50</v>
      </c>
      <c r="B5" s="129">
        <v>718</v>
      </c>
      <c r="C5" s="129" t="s">
        <v>753</v>
      </c>
      <c r="D5" s="130" t="s">
        <v>754</v>
      </c>
      <c r="E5" s="131">
        <v>1229</v>
      </c>
      <c r="F5" s="131">
        <v>1247</v>
      </c>
      <c r="G5" s="131">
        <v>2047</v>
      </c>
      <c r="H5" s="131">
        <v>1985</v>
      </c>
      <c r="I5" s="131">
        <v>2061</v>
      </c>
      <c r="J5" s="131">
        <v>2063</v>
      </c>
      <c r="K5" s="131">
        <v>1855</v>
      </c>
      <c r="L5" s="131">
        <v>2111</v>
      </c>
      <c r="M5" s="131">
        <v>1940</v>
      </c>
      <c r="N5" s="131">
        <v>1938</v>
      </c>
      <c r="O5" s="131">
        <v>1943</v>
      </c>
      <c r="P5" s="131">
        <v>1941</v>
      </c>
      <c r="Q5" s="131">
        <v>1946</v>
      </c>
      <c r="R5" s="131">
        <v>1951</v>
      </c>
      <c r="S5" s="131">
        <v>1961</v>
      </c>
      <c r="T5" s="159">
        <v>1968</v>
      </c>
      <c r="U5" s="159">
        <v>1975</v>
      </c>
      <c r="V5" s="159">
        <v>1982</v>
      </c>
      <c r="W5" s="159">
        <v>1988</v>
      </c>
      <c r="X5" s="159">
        <v>1990</v>
      </c>
      <c r="Y5" s="159">
        <v>2003</v>
      </c>
      <c r="Z5" s="159">
        <v>2013</v>
      </c>
    </row>
    <row r="6" spans="1:26" x14ac:dyDescent="0.2">
      <c r="A6" s="129" t="s">
        <v>50</v>
      </c>
      <c r="B6" s="129">
        <v>871</v>
      </c>
      <c r="C6" s="129" t="s">
        <v>755</v>
      </c>
      <c r="D6" s="130" t="s">
        <v>754</v>
      </c>
      <c r="E6" s="131">
        <v>14534</v>
      </c>
      <c r="F6" s="131">
        <v>14867</v>
      </c>
      <c r="G6" s="131">
        <v>15444</v>
      </c>
      <c r="H6" s="131">
        <v>15750</v>
      </c>
      <c r="I6" s="131">
        <v>15974</v>
      </c>
      <c r="J6" s="131">
        <v>16828</v>
      </c>
      <c r="K6" s="131">
        <v>13953</v>
      </c>
      <c r="L6" s="131">
        <v>17488</v>
      </c>
      <c r="M6" s="131">
        <v>17557</v>
      </c>
      <c r="N6" s="131">
        <v>17593</v>
      </c>
      <c r="O6" s="131">
        <v>17593</v>
      </c>
      <c r="P6" s="131">
        <v>17512</v>
      </c>
      <c r="Q6" s="131">
        <v>17807</v>
      </c>
      <c r="R6" s="131">
        <v>17614</v>
      </c>
      <c r="S6" s="131">
        <v>17725</v>
      </c>
      <c r="T6" s="159">
        <v>17894</v>
      </c>
      <c r="U6" s="159">
        <v>18080</v>
      </c>
      <c r="V6" s="159">
        <v>18581</v>
      </c>
      <c r="W6" s="159">
        <v>18996</v>
      </c>
      <c r="X6" s="159">
        <v>19319</v>
      </c>
      <c r="Y6" s="159">
        <v>19649</v>
      </c>
      <c r="Z6" s="159">
        <v>19946</v>
      </c>
    </row>
    <row r="7" spans="1:26" x14ac:dyDescent="0.2">
      <c r="A7" s="129" t="s">
        <v>50</v>
      </c>
      <c r="B7" s="129">
        <v>1512</v>
      </c>
      <c r="C7" s="129" t="s">
        <v>756</v>
      </c>
      <c r="D7" s="130" t="s">
        <v>754</v>
      </c>
      <c r="E7" s="131">
        <v>2222.75</v>
      </c>
      <c r="F7" s="131">
        <v>2234</v>
      </c>
      <c r="G7" s="131">
        <v>2254</v>
      </c>
      <c r="H7" s="131">
        <v>2264</v>
      </c>
      <c r="I7" s="131">
        <v>1870</v>
      </c>
      <c r="J7" s="131">
        <v>1852</v>
      </c>
      <c r="K7" s="131">
        <v>2076</v>
      </c>
      <c r="L7" s="131">
        <v>1927</v>
      </c>
      <c r="M7" s="131">
        <v>2094</v>
      </c>
      <c r="N7" s="131">
        <v>2096</v>
      </c>
      <c r="O7" s="131">
        <v>2099</v>
      </c>
      <c r="P7" s="131">
        <v>2099</v>
      </c>
      <c r="Q7" s="131">
        <v>2129</v>
      </c>
      <c r="R7" s="131">
        <v>2129</v>
      </c>
      <c r="S7" s="131">
        <v>1687</v>
      </c>
      <c r="T7" s="159">
        <v>1730</v>
      </c>
      <c r="U7" s="159">
        <v>1746</v>
      </c>
      <c r="V7" s="159">
        <v>2212</v>
      </c>
      <c r="W7" s="159">
        <v>2188</v>
      </c>
      <c r="X7" s="159">
        <v>2218</v>
      </c>
      <c r="Y7" s="159">
        <v>2219</v>
      </c>
      <c r="Z7" s="159">
        <v>2231</v>
      </c>
    </row>
    <row r="8" spans="1:26" x14ac:dyDescent="0.2">
      <c r="A8" s="129" t="s">
        <v>50</v>
      </c>
      <c r="B8" s="129">
        <v>3522</v>
      </c>
      <c r="C8" s="129" t="s">
        <v>49</v>
      </c>
      <c r="D8" s="130" t="s">
        <v>754</v>
      </c>
      <c r="E8" s="131">
        <v>0</v>
      </c>
      <c r="F8" s="131">
        <v>1472</v>
      </c>
      <c r="G8" s="131">
        <v>2028</v>
      </c>
      <c r="H8" s="131">
        <v>0</v>
      </c>
      <c r="I8" s="131">
        <v>0</v>
      </c>
      <c r="J8" s="131">
        <v>2597</v>
      </c>
      <c r="K8" s="131">
        <v>2816</v>
      </c>
      <c r="L8" s="131">
        <v>2860</v>
      </c>
      <c r="M8" s="131">
        <v>2880</v>
      </c>
      <c r="N8" s="131">
        <v>3019</v>
      </c>
      <c r="O8" s="131">
        <v>3144</v>
      </c>
      <c r="P8" s="131">
        <v>3148</v>
      </c>
      <c r="Q8" s="131">
        <v>3196</v>
      </c>
      <c r="R8" s="131">
        <v>3197</v>
      </c>
      <c r="S8" s="131">
        <v>3265</v>
      </c>
      <c r="T8" s="159">
        <v>3280</v>
      </c>
      <c r="U8" s="159">
        <v>3284</v>
      </c>
      <c r="V8" s="159">
        <v>3322</v>
      </c>
      <c r="W8" s="159">
        <v>3389</v>
      </c>
      <c r="X8" s="159">
        <v>3473</v>
      </c>
      <c r="Y8" s="159">
        <v>3349</v>
      </c>
      <c r="Z8" s="159">
        <v>3573</v>
      </c>
    </row>
    <row r="9" spans="1:26" x14ac:dyDescent="0.2">
      <c r="A9" s="129" t="s">
        <v>50</v>
      </c>
      <c r="B9" s="129">
        <v>7104</v>
      </c>
      <c r="C9" s="129" t="s">
        <v>757</v>
      </c>
      <c r="D9" s="130" t="s">
        <v>754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48770</v>
      </c>
      <c r="K9" s="131">
        <v>57873</v>
      </c>
      <c r="L9" s="131">
        <v>58714</v>
      </c>
      <c r="M9" s="131">
        <v>59146</v>
      </c>
      <c r="N9" s="131">
        <v>59137</v>
      </c>
      <c r="O9" s="131">
        <v>57911</v>
      </c>
      <c r="P9" s="131">
        <v>57473</v>
      </c>
      <c r="Q9" s="131">
        <v>58316</v>
      </c>
      <c r="R9" s="131">
        <v>58534</v>
      </c>
      <c r="S9" s="131">
        <v>58876</v>
      </c>
      <c r="T9" s="159">
        <v>59465</v>
      </c>
      <c r="U9" s="159">
        <v>60587</v>
      </c>
      <c r="V9" s="159">
        <v>61237</v>
      </c>
      <c r="W9" s="159">
        <v>61920</v>
      </c>
      <c r="X9" s="159">
        <v>56423</v>
      </c>
      <c r="Y9" s="159">
        <v>64435</v>
      </c>
      <c r="Z9" s="159">
        <v>66340</v>
      </c>
    </row>
    <row r="10" spans="1:26" x14ac:dyDescent="0.2">
      <c r="A10" s="129" t="s">
        <v>50</v>
      </c>
      <c r="B10" s="129">
        <v>7768</v>
      </c>
      <c r="C10" s="129" t="s">
        <v>758</v>
      </c>
      <c r="D10" s="130" t="s">
        <v>754</v>
      </c>
      <c r="E10" s="131">
        <v>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234</v>
      </c>
      <c r="L10" s="131">
        <v>231</v>
      </c>
      <c r="M10" s="131">
        <v>0</v>
      </c>
      <c r="N10" s="131">
        <v>0</v>
      </c>
      <c r="O10" s="131">
        <v>235</v>
      </c>
      <c r="P10" s="131">
        <v>235</v>
      </c>
      <c r="Q10" s="131">
        <v>319</v>
      </c>
      <c r="R10" s="131">
        <v>321</v>
      </c>
      <c r="S10" s="131">
        <v>236</v>
      </c>
      <c r="T10" s="131"/>
      <c r="U10" s="131" t="s">
        <v>794</v>
      </c>
      <c r="V10" s="131" t="s">
        <v>794</v>
      </c>
      <c r="W10" s="131" t="s">
        <v>794</v>
      </c>
      <c r="X10" s="131" t="s">
        <v>794</v>
      </c>
      <c r="Y10" s="131" t="e">
        <v>#N/A</v>
      </c>
      <c r="Z10" s="159" t="s">
        <v>794</v>
      </c>
    </row>
    <row r="11" spans="1:26" x14ac:dyDescent="0.2">
      <c r="A11" s="129" t="s">
        <v>24</v>
      </c>
      <c r="B11" s="129">
        <v>207</v>
      </c>
      <c r="C11" s="129" t="s">
        <v>64</v>
      </c>
      <c r="D11" s="130" t="s">
        <v>759</v>
      </c>
      <c r="E11" s="131">
        <v>2284</v>
      </c>
      <c r="F11" s="131">
        <v>2284</v>
      </c>
      <c r="G11" s="131">
        <v>2284</v>
      </c>
      <c r="H11" s="131">
        <v>2317</v>
      </c>
      <c r="I11" s="131">
        <v>2327</v>
      </c>
      <c r="J11" s="131">
        <v>2333</v>
      </c>
      <c r="K11" s="131">
        <v>0</v>
      </c>
      <c r="L11" s="131">
        <v>2329</v>
      </c>
      <c r="M11" s="131">
        <v>2405</v>
      </c>
      <c r="N11" s="131">
        <v>2376</v>
      </c>
      <c r="O11" s="131">
        <v>2433</v>
      </c>
      <c r="P11" s="131">
        <v>2508</v>
      </c>
      <c r="Q11" s="131">
        <v>2560</v>
      </c>
      <c r="R11" s="131">
        <v>2581</v>
      </c>
      <c r="S11" s="131">
        <v>2562</v>
      </c>
      <c r="T11" s="131">
        <v>2570</v>
      </c>
      <c r="U11" s="131">
        <v>2309</v>
      </c>
      <c r="V11" s="131">
        <v>2313</v>
      </c>
      <c r="W11" s="131">
        <v>2308</v>
      </c>
      <c r="X11" s="131">
        <v>2325</v>
      </c>
      <c r="Y11" s="131">
        <v>2298</v>
      </c>
      <c r="Z11" s="159">
        <v>2338</v>
      </c>
    </row>
    <row r="12" spans="1:26" x14ac:dyDescent="0.2">
      <c r="A12" s="129" t="s">
        <v>24</v>
      </c>
      <c r="B12" s="129">
        <v>419</v>
      </c>
      <c r="C12" s="129" t="s">
        <v>25</v>
      </c>
      <c r="D12" s="130" t="s">
        <v>759</v>
      </c>
      <c r="E12" s="131">
        <v>3126</v>
      </c>
      <c r="F12" s="131">
        <v>3227.9999999999995</v>
      </c>
      <c r="G12" s="131">
        <v>3330</v>
      </c>
      <c r="H12" s="131">
        <v>3396.6</v>
      </c>
      <c r="I12" s="131">
        <v>3464.5320000000002</v>
      </c>
      <c r="J12" s="131">
        <v>3533.8226399999999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4179</v>
      </c>
      <c r="Q12" s="131">
        <v>4161</v>
      </c>
      <c r="R12" s="131">
        <v>4200</v>
      </c>
      <c r="S12" s="131">
        <v>4201</v>
      </c>
      <c r="T12" s="131">
        <v>4201</v>
      </c>
      <c r="U12" s="131">
        <v>4337</v>
      </c>
      <c r="V12" s="131">
        <v>4393</v>
      </c>
      <c r="W12" s="131">
        <v>4410</v>
      </c>
      <c r="X12" s="131">
        <v>4772</v>
      </c>
      <c r="Y12" s="131">
        <v>4175</v>
      </c>
      <c r="Z12" s="159">
        <v>4175</v>
      </c>
    </row>
    <row r="13" spans="1:26" x14ac:dyDescent="0.2">
      <c r="A13" s="129" t="s">
        <v>24</v>
      </c>
      <c r="B13" s="129">
        <v>1118</v>
      </c>
      <c r="C13" s="129" t="s">
        <v>760</v>
      </c>
      <c r="D13" s="130" t="s">
        <v>759</v>
      </c>
      <c r="E13" s="131">
        <v>1793</v>
      </c>
      <c r="F13" s="131">
        <v>1801</v>
      </c>
      <c r="G13" s="131">
        <v>1835</v>
      </c>
      <c r="H13" s="131">
        <v>1975</v>
      </c>
      <c r="I13" s="131">
        <v>1979</v>
      </c>
      <c r="J13" s="131">
        <v>2118</v>
      </c>
      <c r="K13" s="131">
        <v>2168</v>
      </c>
      <c r="L13" s="131">
        <v>2614</v>
      </c>
      <c r="M13" s="131">
        <v>2229</v>
      </c>
      <c r="N13" s="131">
        <v>2128</v>
      </c>
      <c r="O13" s="131">
        <v>2116</v>
      </c>
      <c r="P13" s="131">
        <v>2223</v>
      </c>
      <c r="Q13" s="131">
        <v>2218</v>
      </c>
      <c r="R13" s="131">
        <v>2213</v>
      </c>
      <c r="S13" s="131">
        <v>2338</v>
      </c>
      <c r="T13" s="131">
        <v>2419</v>
      </c>
      <c r="U13" s="131">
        <v>2427</v>
      </c>
      <c r="V13" s="131">
        <v>2434</v>
      </c>
      <c r="W13" s="131">
        <v>2434</v>
      </c>
      <c r="X13" s="131">
        <v>2434</v>
      </c>
      <c r="Y13" s="131">
        <v>2485</v>
      </c>
      <c r="Z13" s="159">
        <v>2487</v>
      </c>
    </row>
    <row r="14" spans="1:26" x14ac:dyDescent="0.2">
      <c r="A14" s="129" t="s">
        <v>24</v>
      </c>
      <c r="B14" s="129">
        <v>2842</v>
      </c>
      <c r="C14" s="129" t="s">
        <v>761</v>
      </c>
      <c r="D14" s="130" t="s">
        <v>759</v>
      </c>
      <c r="E14" s="131">
        <v>0</v>
      </c>
      <c r="F14" s="131">
        <v>3669</v>
      </c>
      <c r="G14" s="131">
        <v>3859</v>
      </c>
      <c r="H14" s="131">
        <v>0</v>
      </c>
      <c r="I14" s="131">
        <v>0</v>
      </c>
      <c r="J14" s="131">
        <v>0</v>
      </c>
      <c r="K14" s="131">
        <v>6529</v>
      </c>
      <c r="L14" s="131">
        <v>0</v>
      </c>
      <c r="M14" s="131">
        <v>7218</v>
      </c>
      <c r="N14" s="131">
        <v>6837</v>
      </c>
      <c r="O14" s="131">
        <v>6837</v>
      </c>
      <c r="P14" s="131">
        <v>7259</v>
      </c>
      <c r="Q14" s="131">
        <v>7280</v>
      </c>
      <c r="R14" s="131">
        <v>7321</v>
      </c>
      <c r="S14" s="131">
        <v>7315</v>
      </c>
      <c r="T14" s="131">
        <v>7405</v>
      </c>
      <c r="U14" s="131">
        <v>7388</v>
      </c>
      <c r="V14" s="131">
        <v>7494</v>
      </c>
      <c r="W14" s="131">
        <v>7735</v>
      </c>
      <c r="X14" s="131">
        <v>7905</v>
      </c>
      <c r="Y14" s="131">
        <v>8346</v>
      </c>
      <c r="Z14" s="159">
        <v>8912</v>
      </c>
    </row>
    <row r="15" spans="1:26" x14ac:dyDescent="0.2">
      <c r="A15" s="129" t="s">
        <v>24</v>
      </c>
      <c r="B15" s="129">
        <v>4153</v>
      </c>
      <c r="C15" s="129" t="s">
        <v>762</v>
      </c>
      <c r="D15" s="130" t="s">
        <v>759</v>
      </c>
      <c r="E15" s="131">
        <v>5443</v>
      </c>
      <c r="F15" s="131">
        <v>5446</v>
      </c>
      <c r="G15" s="131">
        <v>5153</v>
      </c>
      <c r="H15" s="131">
        <v>4867</v>
      </c>
      <c r="I15" s="131">
        <v>5360</v>
      </c>
      <c r="J15" s="131">
        <v>5677</v>
      </c>
      <c r="K15" s="131">
        <v>0</v>
      </c>
      <c r="L15" s="131">
        <v>5729</v>
      </c>
      <c r="M15" s="131">
        <v>5611</v>
      </c>
      <c r="N15" s="131">
        <v>5766</v>
      </c>
      <c r="O15" s="131">
        <v>5771</v>
      </c>
      <c r="P15" s="131">
        <v>5630</v>
      </c>
      <c r="Q15" s="131">
        <v>5610</v>
      </c>
      <c r="R15" s="131">
        <v>5610</v>
      </c>
      <c r="S15" s="131">
        <v>5717</v>
      </c>
      <c r="T15" s="131">
        <v>5717</v>
      </c>
      <c r="U15" s="131">
        <v>5615</v>
      </c>
      <c r="V15" s="131">
        <v>5642</v>
      </c>
      <c r="W15" s="131">
        <v>5642</v>
      </c>
      <c r="X15" s="131">
        <v>5718</v>
      </c>
      <c r="Y15" s="131">
        <v>5737</v>
      </c>
      <c r="Z15" s="159">
        <v>5888</v>
      </c>
    </row>
    <row r="16" spans="1:26" x14ac:dyDescent="0.2">
      <c r="A16" s="129" t="s">
        <v>24</v>
      </c>
      <c r="B16" s="129">
        <v>4406</v>
      </c>
      <c r="C16" s="129" t="s">
        <v>13</v>
      </c>
      <c r="D16" s="130" t="s">
        <v>759</v>
      </c>
      <c r="E16" s="131">
        <v>1757</v>
      </c>
      <c r="F16" s="131">
        <v>1777</v>
      </c>
      <c r="G16" s="131">
        <v>1806</v>
      </c>
      <c r="H16" s="131">
        <v>1838</v>
      </c>
      <c r="I16" s="131">
        <v>0</v>
      </c>
      <c r="J16" s="131">
        <v>1910</v>
      </c>
      <c r="K16" s="131">
        <v>1931</v>
      </c>
      <c r="L16" s="131">
        <v>1949</v>
      </c>
      <c r="M16" s="131">
        <v>1964</v>
      </c>
      <c r="N16" s="131">
        <v>1964</v>
      </c>
      <c r="O16" s="131">
        <v>2215</v>
      </c>
      <c r="P16" s="131">
        <v>2333</v>
      </c>
      <c r="Q16" s="131">
        <v>2423</v>
      </c>
      <c r="R16" s="131">
        <v>2469</v>
      </c>
      <c r="S16" s="131">
        <v>2476</v>
      </c>
      <c r="T16" s="131">
        <v>2445</v>
      </c>
      <c r="U16" s="131">
        <v>2490</v>
      </c>
      <c r="V16" s="131">
        <v>2488</v>
      </c>
      <c r="W16" s="131">
        <v>2490</v>
      </c>
      <c r="X16" s="131">
        <v>2495</v>
      </c>
      <c r="Y16" s="131">
        <v>2513</v>
      </c>
      <c r="Z16" s="159">
        <v>2537</v>
      </c>
    </row>
    <row r="17" spans="1:26" x14ac:dyDescent="0.2">
      <c r="A17" s="132" t="s">
        <v>24</v>
      </c>
      <c r="B17" s="132">
        <v>6691</v>
      </c>
      <c r="C17" s="132" t="s">
        <v>763</v>
      </c>
      <c r="D17" s="133" t="s">
        <v>759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253</v>
      </c>
      <c r="Q17" s="134">
        <v>261</v>
      </c>
      <c r="R17" s="131">
        <v>251</v>
      </c>
      <c r="S17" s="131">
        <v>255</v>
      </c>
      <c r="T17" s="130">
        <v>265</v>
      </c>
      <c r="U17" s="130">
        <v>270</v>
      </c>
      <c r="V17" s="130">
        <v>276</v>
      </c>
      <c r="W17" s="130">
        <v>277</v>
      </c>
      <c r="X17" s="130">
        <v>278</v>
      </c>
      <c r="Y17" s="130">
        <v>281</v>
      </c>
      <c r="Z17" s="159">
        <v>283</v>
      </c>
    </row>
    <row r="18" spans="1:26" x14ac:dyDescent="0.2">
      <c r="A18" s="129" t="s">
        <v>24</v>
      </c>
      <c r="B18" s="129">
        <v>7121</v>
      </c>
      <c r="C18" s="129" t="s">
        <v>764</v>
      </c>
      <c r="D18" s="130" t="s">
        <v>759</v>
      </c>
      <c r="E18" s="131">
        <v>6660</v>
      </c>
      <c r="F18" s="131">
        <v>8491</v>
      </c>
      <c r="G18" s="131">
        <v>8562</v>
      </c>
      <c r="H18" s="131">
        <v>5444</v>
      </c>
      <c r="I18" s="131">
        <v>0</v>
      </c>
      <c r="J18" s="131">
        <v>8938</v>
      </c>
      <c r="K18" s="131">
        <v>0</v>
      </c>
      <c r="L18" s="131">
        <v>11420</v>
      </c>
      <c r="M18" s="131">
        <v>10171</v>
      </c>
      <c r="N18" s="131">
        <v>10794</v>
      </c>
      <c r="O18" s="131">
        <v>11132</v>
      </c>
      <c r="P18" s="131">
        <v>11801</v>
      </c>
      <c r="Q18" s="131">
        <v>11544</v>
      </c>
      <c r="R18" s="131">
        <v>11846</v>
      </c>
      <c r="S18" s="131">
        <v>11540</v>
      </c>
      <c r="T18" s="131">
        <v>11610</v>
      </c>
      <c r="U18" s="131">
        <v>11727</v>
      </c>
      <c r="V18" s="131">
        <v>11349</v>
      </c>
      <c r="W18" s="131">
        <v>11134</v>
      </c>
      <c r="X18" s="131">
        <v>11350</v>
      </c>
      <c r="Y18" s="131">
        <v>11816</v>
      </c>
      <c r="Z18" s="159">
        <v>12876</v>
      </c>
    </row>
    <row r="19" spans="1:26" x14ac:dyDescent="0.2">
      <c r="A19" s="129" t="s">
        <v>24</v>
      </c>
      <c r="B19" s="129">
        <v>9097</v>
      </c>
      <c r="C19" s="129" t="s">
        <v>921</v>
      </c>
      <c r="D19" s="130" t="s">
        <v>759</v>
      </c>
      <c r="E19" s="131" t="s">
        <v>794</v>
      </c>
      <c r="F19" s="131" t="s">
        <v>794</v>
      </c>
      <c r="G19" s="131" t="s">
        <v>794</v>
      </c>
      <c r="H19" s="131" t="s">
        <v>794</v>
      </c>
      <c r="I19" s="131" t="s">
        <v>794</v>
      </c>
      <c r="J19" s="131" t="s">
        <v>794</v>
      </c>
      <c r="K19" s="131" t="s">
        <v>794</v>
      </c>
      <c r="L19" s="131" t="s">
        <v>794</v>
      </c>
      <c r="M19" s="131" t="s">
        <v>794</v>
      </c>
      <c r="N19" s="131" t="s">
        <v>794</v>
      </c>
      <c r="O19" s="131" t="s">
        <v>794</v>
      </c>
      <c r="P19" s="131" t="s">
        <v>794</v>
      </c>
      <c r="Q19" s="131" t="s">
        <v>794</v>
      </c>
      <c r="R19" s="131" t="s">
        <v>794</v>
      </c>
      <c r="S19" s="131" t="s">
        <v>794</v>
      </c>
      <c r="T19" s="131" t="s">
        <v>794</v>
      </c>
      <c r="U19" s="131" t="s">
        <v>794</v>
      </c>
      <c r="V19" s="131" t="s">
        <v>794</v>
      </c>
      <c r="W19" s="131" t="s">
        <v>794</v>
      </c>
      <c r="X19" s="131" t="s">
        <v>794</v>
      </c>
      <c r="Y19" s="131">
        <v>72</v>
      </c>
      <c r="Z19" s="159">
        <v>73</v>
      </c>
    </row>
    <row r="20" spans="1:26" x14ac:dyDescent="0.2">
      <c r="A20" s="129" t="s">
        <v>24</v>
      </c>
      <c r="B20" s="129">
        <v>9791</v>
      </c>
      <c r="C20" s="129" t="s">
        <v>761</v>
      </c>
      <c r="D20" s="130" t="s">
        <v>759</v>
      </c>
      <c r="E20" s="131">
        <v>0</v>
      </c>
      <c r="F20" s="131">
        <v>3127</v>
      </c>
      <c r="G20" s="131">
        <v>3299</v>
      </c>
      <c r="H20" s="131">
        <v>0</v>
      </c>
      <c r="I20" s="131">
        <v>0</v>
      </c>
      <c r="J20" s="131">
        <v>0</v>
      </c>
      <c r="K20" s="131">
        <v>4523</v>
      </c>
      <c r="L20" s="131">
        <v>0</v>
      </c>
      <c r="M20" s="131">
        <v>4917</v>
      </c>
      <c r="N20" s="131">
        <v>4992</v>
      </c>
      <c r="O20" s="131">
        <v>5393</v>
      </c>
      <c r="P20" s="131">
        <v>5404</v>
      </c>
      <c r="Q20" s="131">
        <v>5468</v>
      </c>
      <c r="R20" s="131">
        <v>5397</v>
      </c>
      <c r="S20" s="131">
        <v>5349</v>
      </c>
      <c r="T20" s="131">
        <v>5519</v>
      </c>
      <c r="U20" s="131">
        <v>5510</v>
      </c>
      <c r="V20" s="131">
        <v>5510</v>
      </c>
      <c r="W20" s="131">
        <v>5894</v>
      </c>
      <c r="X20" s="131">
        <v>6103</v>
      </c>
      <c r="Y20" s="131">
        <v>6381</v>
      </c>
      <c r="Z20" s="159">
        <v>7073</v>
      </c>
    </row>
    <row r="21" spans="1:26" x14ac:dyDescent="0.2">
      <c r="A21" s="129" t="s">
        <v>24</v>
      </c>
      <c r="B21" s="129">
        <v>11839</v>
      </c>
      <c r="C21" s="129" t="s">
        <v>765</v>
      </c>
      <c r="D21" s="130" t="s">
        <v>759</v>
      </c>
      <c r="E21" s="131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430</v>
      </c>
      <c r="M21" s="131">
        <v>436</v>
      </c>
      <c r="N21" s="131">
        <v>460</v>
      </c>
      <c r="O21" s="131">
        <v>0</v>
      </c>
      <c r="P21" s="131">
        <v>483</v>
      </c>
      <c r="Q21" s="131">
        <v>484</v>
      </c>
      <c r="R21" s="131">
        <v>484</v>
      </c>
      <c r="S21" s="131">
        <v>498</v>
      </c>
      <c r="T21" s="130">
        <v>508</v>
      </c>
      <c r="U21" s="130">
        <v>522</v>
      </c>
      <c r="V21" s="130">
        <v>522</v>
      </c>
      <c r="W21" s="130">
        <v>522</v>
      </c>
      <c r="X21" s="130">
        <v>522</v>
      </c>
      <c r="Y21" s="130">
        <v>522</v>
      </c>
      <c r="Z21" s="159">
        <v>522</v>
      </c>
    </row>
    <row r="22" spans="1:26" x14ac:dyDescent="0.2">
      <c r="A22" s="129" t="s">
        <v>24</v>
      </c>
      <c r="B22" s="129">
        <v>20230</v>
      </c>
      <c r="C22" s="129" t="s">
        <v>478</v>
      </c>
      <c r="D22" s="130" t="s">
        <v>759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1865</v>
      </c>
      <c r="Q22" s="131">
        <v>1865</v>
      </c>
      <c r="R22" s="131">
        <v>1929</v>
      </c>
      <c r="S22" s="131">
        <v>1987</v>
      </c>
      <c r="T22" s="131">
        <v>2046</v>
      </c>
      <c r="U22" s="131">
        <v>2130</v>
      </c>
      <c r="V22" s="131">
        <v>2016</v>
      </c>
      <c r="W22" s="131">
        <v>2027</v>
      </c>
      <c r="X22" s="131">
        <v>2034</v>
      </c>
      <c r="Y22" s="131">
        <v>2040</v>
      </c>
      <c r="Z22" s="159">
        <v>2053</v>
      </c>
    </row>
    <row r="23" spans="1:26" x14ac:dyDescent="0.2">
      <c r="A23" s="129" t="s">
        <v>15</v>
      </c>
      <c r="B23" s="129">
        <v>4725</v>
      </c>
      <c r="C23" s="129" t="s">
        <v>766</v>
      </c>
      <c r="D23" s="130" t="s">
        <v>754</v>
      </c>
      <c r="E23" s="131">
        <v>3223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4211</v>
      </c>
      <c r="O23" s="131">
        <v>3529</v>
      </c>
      <c r="P23" s="131">
        <v>3009</v>
      </c>
      <c r="Q23" s="131">
        <v>3693</v>
      </c>
      <c r="R23" s="131">
        <v>3828</v>
      </c>
      <c r="S23" s="131">
        <v>3736</v>
      </c>
      <c r="T23" s="131">
        <v>3676</v>
      </c>
      <c r="U23" s="131">
        <v>3610</v>
      </c>
      <c r="V23" s="131">
        <v>3620</v>
      </c>
      <c r="W23" s="131">
        <v>3799</v>
      </c>
      <c r="X23" s="131">
        <v>3855</v>
      </c>
      <c r="Y23" s="131">
        <v>4227</v>
      </c>
      <c r="Z23" s="159">
        <v>4319</v>
      </c>
    </row>
    <row r="24" spans="1:26" x14ac:dyDescent="0.2">
      <c r="A24" s="129" t="s">
        <v>15</v>
      </c>
      <c r="B24" s="129">
        <v>10420</v>
      </c>
      <c r="C24" s="129" t="s">
        <v>842</v>
      </c>
      <c r="D24" s="130" t="s">
        <v>754</v>
      </c>
      <c r="E24" s="131" t="s">
        <v>794</v>
      </c>
      <c r="F24" s="131" t="s">
        <v>794</v>
      </c>
      <c r="G24" s="131" t="s">
        <v>794</v>
      </c>
      <c r="H24" s="131" t="s">
        <v>794</v>
      </c>
      <c r="I24" s="131" t="s">
        <v>794</v>
      </c>
      <c r="J24" s="131" t="s">
        <v>794</v>
      </c>
      <c r="K24" s="131" t="s">
        <v>794</v>
      </c>
      <c r="L24" s="131" t="s">
        <v>794</v>
      </c>
      <c r="M24" s="131" t="s">
        <v>794</v>
      </c>
      <c r="N24" s="131" t="s">
        <v>794</v>
      </c>
      <c r="O24" s="131" t="s">
        <v>794</v>
      </c>
      <c r="P24" s="131" t="s">
        <v>794</v>
      </c>
      <c r="Q24" s="131" t="s">
        <v>794</v>
      </c>
      <c r="R24" s="131" t="s">
        <v>794</v>
      </c>
      <c r="S24" s="131" t="s">
        <v>794</v>
      </c>
      <c r="T24" s="131" t="s">
        <v>794</v>
      </c>
      <c r="U24" s="131" t="s">
        <v>794</v>
      </c>
      <c r="V24" s="131" t="s">
        <v>794</v>
      </c>
      <c r="W24" s="131" t="s">
        <v>794</v>
      </c>
      <c r="X24" s="131" t="s">
        <v>794</v>
      </c>
      <c r="Y24" s="131" t="e">
        <v>#N/A</v>
      </c>
      <c r="Z24" s="159" t="s">
        <v>794</v>
      </c>
    </row>
    <row r="25" spans="1:26" x14ac:dyDescent="0.2">
      <c r="A25" s="129" t="s">
        <v>15</v>
      </c>
      <c r="B25" s="129">
        <v>20457</v>
      </c>
      <c r="C25" s="129" t="s">
        <v>910</v>
      </c>
      <c r="D25" s="130" t="s">
        <v>754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>
        <v>3558</v>
      </c>
      <c r="T25" s="131">
        <v>1259</v>
      </c>
      <c r="U25" s="131">
        <v>2469</v>
      </c>
      <c r="V25" s="131">
        <v>2505</v>
      </c>
      <c r="W25" s="131">
        <v>2540</v>
      </c>
      <c r="X25" s="131">
        <v>2567</v>
      </c>
      <c r="Y25" s="131">
        <v>2833</v>
      </c>
      <c r="Z25" s="159">
        <v>2946</v>
      </c>
    </row>
    <row r="26" spans="1:26" x14ac:dyDescent="0.2">
      <c r="A26" s="132" t="s">
        <v>57</v>
      </c>
      <c r="B26" s="132">
        <v>30</v>
      </c>
      <c r="C26" s="132" t="s">
        <v>767</v>
      </c>
      <c r="D26" s="133" t="s">
        <v>768</v>
      </c>
      <c r="E26" s="134">
        <v>1460</v>
      </c>
      <c r="F26" s="134">
        <v>1460</v>
      </c>
      <c r="G26" s="134">
        <v>1460</v>
      </c>
      <c r="H26" s="134">
        <v>1267</v>
      </c>
      <c r="I26" s="134">
        <v>1267</v>
      </c>
      <c r="J26" s="134">
        <v>1267</v>
      </c>
      <c r="K26" s="134">
        <v>0</v>
      </c>
      <c r="L26" s="134">
        <v>1377</v>
      </c>
      <c r="M26" s="134">
        <v>1379</v>
      </c>
      <c r="N26" s="134">
        <v>1382</v>
      </c>
      <c r="O26" s="134">
        <v>1382</v>
      </c>
      <c r="P26" s="134">
        <v>1360</v>
      </c>
      <c r="Q26" s="134">
        <v>745</v>
      </c>
      <c r="R26" s="131">
        <v>759</v>
      </c>
      <c r="S26" s="131">
        <v>1367</v>
      </c>
      <c r="T26" s="131">
        <v>1367</v>
      </c>
      <c r="U26" s="131">
        <v>1387</v>
      </c>
      <c r="V26" s="131">
        <v>1375</v>
      </c>
      <c r="W26" s="131">
        <v>1397</v>
      </c>
      <c r="X26" s="131">
        <v>1308</v>
      </c>
      <c r="Y26" s="131">
        <v>1399</v>
      </c>
      <c r="Z26" s="159">
        <v>1399</v>
      </c>
    </row>
    <row r="27" spans="1:26" x14ac:dyDescent="0.2">
      <c r="A27" s="129" t="s">
        <v>57</v>
      </c>
      <c r="B27" s="129">
        <v>4461</v>
      </c>
      <c r="C27" s="129" t="s">
        <v>90</v>
      </c>
      <c r="D27" s="130" t="s">
        <v>768</v>
      </c>
      <c r="E27" s="131">
        <v>1884</v>
      </c>
      <c r="F27" s="131">
        <v>1898</v>
      </c>
      <c r="G27" s="131">
        <v>1900</v>
      </c>
      <c r="H27" s="131">
        <v>1892</v>
      </c>
      <c r="I27" s="131">
        <v>0</v>
      </c>
      <c r="J27" s="131">
        <v>2025</v>
      </c>
      <c r="K27" s="131">
        <v>2078</v>
      </c>
      <c r="L27" s="131">
        <v>2021</v>
      </c>
      <c r="M27" s="131">
        <v>2007</v>
      </c>
      <c r="N27" s="131">
        <v>2028</v>
      </c>
      <c r="O27" s="131">
        <v>2018</v>
      </c>
      <c r="P27" s="131">
        <v>2016</v>
      </c>
      <c r="Q27" s="131">
        <v>2091</v>
      </c>
      <c r="R27" s="131">
        <v>2093</v>
      </c>
      <c r="S27" s="131">
        <v>2047</v>
      </c>
      <c r="T27" s="131">
        <v>2060</v>
      </c>
      <c r="U27" s="131">
        <v>2065</v>
      </c>
      <c r="V27" s="131">
        <v>2042</v>
      </c>
      <c r="W27" s="131">
        <v>2064</v>
      </c>
      <c r="X27" s="131">
        <v>2058</v>
      </c>
      <c r="Y27" s="131">
        <v>2087</v>
      </c>
      <c r="Z27" s="159">
        <v>2188</v>
      </c>
    </row>
    <row r="28" spans="1:26" x14ac:dyDescent="0.2">
      <c r="A28" s="129" t="s">
        <v>57</v>
      </c>
      <c r="B28" s="129">
        <v>7658</v>
      </c>
      <c r="C28" s="129" t="s">
        <v>16</v>
      </c>
      <c r="D28" s="130" t="s">
        <v>768</v>
      </c>
      <c r="E28" s="131">
        <v>554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495</v>
      </c>
      <c r="M28" s="131">
        <v>505</v>
      </c>
      <c r="N28" s="131">
        <v>515</v>
      </c>
      <c r="O28" s="131">
        <v>805</v>
      </c>
      <c r="P28" s="131">
        <v>805</v>
      </c>
      <c r="Q28" s="131">
        <v>810</v>
      </c>
      <c r="R28" s="131">
        <v>935</v>
      </c>
      <c r="S28" s="131">
        <v>935</v>
      </c>
      <c r="T28" s="130">
        <v>937</v>
      </c>
      <c r="U28" s="130">
        <v>819</v>
      </c>
      <c r="V28" s="130">
        <v>820</v>
      </c>
      <c r="W28" s="130">
        <v>820</v>
      </c>
      <c r="X28" s="130">
        <v>820</v>
      </c>
      <c r="Y28" s="130">
        <v>822</v>
      </c>
      <c r="Z28" s="159">
        <v>823</v>
      </c>
    </row>
    <row r="29" spans="1:26" x14ac:dyDescent="0.2">
      <c r="A29" s="129" t="s">
        <v>57</v>
      </c>
      <c r="B29" s="129">
        <v>13026</v>
      </c>
      <c r="C29" s="129" t="s">
        <v>769</v>
      </c>
      <c r="D29" s="130" t="s">
        <v>768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262</v>
      </c>
      <c r="Q29" s="131">
        <v>781</v>
      </c>
      <c r="R29" s="131">
        <v>787</v>
      </c>
      <c r="S29" s="131">
        <v>799</v>
      </c>
      <c r="T29" s="131">
        <v>807</v>
      </c>
      <c r="U29" s="131">
        <v>855</v>
      </c>
      <c r="V29" s="131">
        <v>895</v>
      </c>
      <c r="W29" s="131">
        <v>895</v>
      </c>
      <c r="X29" s="131">
        <v>898</v>
      </c>
      <c r="Y29" s="131">
        <v>906</v>
      </c>
      <c r="Z29" s="159">
        <v>950</v>
      </c>
    </row>
    <row r="30" spans="1:26" x14ac:dyDescent="0.2">
      <c r="A30" s="132" t="s">
        <v>26</v>
      </c>
      <c r="B30" s="132">
        <v>2179</v>
      </c>
      <c r="C30" s="160" t="s">
        <v>770</v>
      </c>
      <c r="D30" s="133" t="s">
        <v>759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3415</v>
      </c>
      <c r="L30" s="134">
        <v>311</v>
      </c>
      <c r="M30" s="134">
        <v>312</v>
      </c>
      <c r="N30" s="134">
        <v>314</v>
      </c>
      <c r="O30" s="134">
        <v>315</v>
      </c>
      <c r="P30" s="134">
        <v>313</v>
      </c>
      <c r="Q30" s="134">
        <v>314</v>
      </c>
      <c r="R30" s="131">
        <v>313</v>
      </c>
      <c r="S30" s="131">
        <v>313</v>
      </c>
      <c r="T30" s="131"/>
      <c r="U30" s="131" t="s">
        <v>794</v>
      </c>
      <c r="V30" s="131" t="s">
        <v>794</v>
      </c>
      <c r="W30" s="131" t="s">
        <v>794</v>
      </c>
      <c r="X30" s="131" t="s">
        <v>794</v>
      </c>
      <c r="Y30" s="131" t="s">
        <v>794</v>
      </c>
      <c r="Z30" s="159" t="s">
        <v>794</v>
      </c>
    </row>
    <row r="31" spans="1:26" x14ac:dyDescent="0.2">
      <c r="A31" s="129" t="s">
        <v>26</v>
      </c>
      <c r="B31" s="129">
        <v>2983</v>
      </c>
      <c r="C31" s="129" t="s">
        <v>770</v>
      </c>
      <c r="D31" s="130" t="s">
        <v>759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52293</v>
      </c>
      <c r="K31" s="131">
        <v>54926</v>
      </c>
      <c r="L31" s="131">
        <v>56218</v>
      </c>
      <c r="M31" s="131">
        <v>54876</v>
      </c>
      <c r="N31" s="131">
        <v>54619</v>
      </c>
      <c r="O31" s="131">
        <v>55781</v>
      </c>
      <c r="P31" s="131">
        <v>55564</v>
      </c>
      <c r="Q31" s="131">
        <v>55754</v>
      </c>
      <c r="R31" s="131">
        <v>56043</v>
      </c>
      <c r="S31" s="131">
        <v>56044</v>
      </c>
      <c r="T31" s="131"/>
      <c r="U31" s="131" t="s">
        <v>794</v>
      </c>
      <c r="V31" s="131" t="s">
        <v>794</v>
      </c>
      <c r="W31" s="131" t="s">
        <v>794</v>
      </c>
      <c r="X31" s="131" t="s">
        <v>794</v>
      </c>
      <c r="Y31" s="131" t="s">
        <v>794</v>
      </c>
      <c r="Z31" s="159" t="s">
        <v>794</v>
      </c>
    </row>
    <row r="32" spans="1:26" x14ac:dyDescent="0.2">
      <c r="A32" s="129" t="s">
        <v>26</v>
      </c>
      <c r="B32" s="129">
        <v>5789</v>
      </c>
      <c r="C32" s="129" t="s">
        <v>770</v>
      </c>
      <c r="D32" s="130" t="s">
        <v>759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2959</v>
      </c>
      <c r="M32" s="131">
        <v>2975</v>
      </c>
      <c r="N32" s="131">
        <v>2988</v>
      </c>
      <c r="O32" s="131">
        <v>2934</v>
      </c>
      <c r="P32" s="131">
        <v>2932</v>
      </c>
      <c r="Q32" s="131">
        <v>2920</v>
      </c>
      <c r="R32" s="131">
        <f>2969+R30+R31+R34</f>
        <v>59348</v>
      </c>
      <c r="S32" s="131">
        <f>3019+S30+S31+S34</f>
        <v>59399</v>
      </c>
      <c r="T32" s="131">
        <v>60398</v>
      </c>
      <c r="U32" s="131">
        <v>60981</v>
      </c>
      <c r="V32" s="131">
        <v>61697</v>
      </c>
      <c r="W32" s="131">
        <v>62431</v>
      </c>
      <c r="X32" s="131">
        <v>63152</v>
      </c>
      <c r="Y32" s="131">
        <v>64197</v>
      </c>
      <c r="Z32" s="159">
        <v>65530</v>
      </c>
    </row>
    <row r="33" spans="1:26" x14ac:dyDescent="0.2">
      <c r="A33" s="129" t="s">
        <v>26</v>
      </c>
      <c r="B33" s="129">
        <v>7627</v>
      </c>
      <c r="C33" s="129" t="s">
        <v>59</v>
      </c>
      <c r="D33" s="130" t="s">
        <v>759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5784</v>
      </c>
      <c r="L33" s="131">
        <v>6910</v>
      </c>
      <c r="M33" s="131">
        <v>0</v>
      </c>
      <c r="N33" s="131">
        <v>6329</v>
      </c>
      <c r="O33" s="131">
        <v>6339</v>
      </c>
      <c r="P33" s="131">
        <v>6356</v>
      </c>
      <c r="Q33" s="131">
        <v>7004</v>
      </c>
      <c r="R33" s="131">
        <v>6900</v>
      </c>
      <c r="S33" s="131">
        <v>6879</v>
      </c>
      <c r="T33" s="131">
        <v>6346</v>
      </c>
      <c r="U33" s="131">
        <v>6212</v>
      </c>
      <c r="V33" s="131">
        <v>6625</v>
      </c>
      <c r="W33" s="131">
        <v>7414</v>
      </c>
      <c r="X33" s="131">
        <v>8397</v>
      </c>
      <c r="Y33" s="131">
        <v>7726</v>
      </c>
      <c r="Z33" s="159">
        <v>7274</v>
      </c>
    </row>
    <row r="34" spans="1:26" x14ac:dyDescent="0.2">
      <c r="A34" s="129" t="s">
        <v>26</v>
      </c>
      <c r="B34" s="129">
        <v>12011</v>
      </c>
      <c r="C34" s="129" t="s">
        <v>770</v>
      </c>
      <c r="D34" s="130" t="s">
        <v>759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23</v>
      </c>
      <c r="Q34" s="131">
        <v>23</v>
      </c>
      <c r="R34" s="131">
        <v>23</v>
      </c>
      <c r="S34" s="131">
        <v>23</v>
      </c>
      <c r="T34" s="131"/>
      <c r="U34" s="131" t="s">
        <v>794</v>
      </c>
      <c r="V34" s="131" t="s">
        <v>794</v>
      </c>
      <c r="W34" s="131" t="s">
        <v>794</v>
      </c>
      <c r="X34" s="131" t="s">
        <v>794</v>
      </c>
      <c r="Y34" s="131" t="s">
        <v>794</v>
      </c>
      <c r="Z34" s="159" t="s">
        <v>794</v>
      </c>
    </row>
    <row r="35" spans="1:26" x14ac:dyDescent="0.2">
      <c r="A35" s="129" t="s">
        <v>27</v>
      </c>
      <c r="B35" s="129">
        <v>4167</v>
      </c>
      <c r="C35" s="129" t="s">
        <v>771</v>
      </c>
      <c r="D35" s="130" t="s">
        <v>768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669</v>
      </c>
      <c r="Q35" s="131">
        <v>601</v>
      </c>
      <c r="R35" s="131">
        <v>617</v>
      </c>
      <c r="S35" s="131">
        <v>641</v>
      </c>
      <c r="T35" s="131">
        <v>681</v>
      </c>
      <c r="U35" s="131">
        <v>714</v>
      </c>
      <c r="V35" s="131">
        <v>720</v>
      </c>
      <c r="W35" s="131">
        <v>640</v>
      </c>
      <c r="X35" s="131">
        <v>675</v>
      </c>
      <c r="Y35" s="131">
        <v>661</v>
      </c>
      <c r="Z35" s="159">
        <v>672</v>
      </c>
    </row>
    <row r="36" spans="1:26" x14ac:dyDescent="0.2">
      <c r="A36" s="132" t="s">
        <v>27</v>
      </c>
      <c r="B36" s="132">
        <v>4492</v>
      </c>
      <c r="C36" s="132" t="s">
        <v>85</v>
      </c>
      <c r="D36" s="133" t="s">
        <v>768</v>
      </c>
      <c r="E36" s="134">
        <v>12270</v>
      </c>
      <c r="F36" s="134">
        <v>12247</v>
      </c>
      <c r="G36" s="134">
        <v>13390</v>
      </c>
      <c r="H36" s="134">
        <v>13720</v>
      </c>
      <c r="I36" s="134">
        <v>13998</v>
      </c>
      <c r="J36" s="134">
        <v>14342</v>
      </c>
      <c r="K36" s="134">
        <v>17049</v>
      </c>
      <c r="L36" s="134">
        <v>14821</v>
      </c>
      <c r="M36" s="134">
        <v>14804</v>
      </c>
      <c r="N36" s="134">
        <v>14970</v>
      </c>
      <c r="O36" s="134">
        <v>15394</v>
      </c>
      <c r="P36" s="134">
        <v>15319</v>
      </c>
      <c r="Q36" s="134">
        <v>15487</v>
      </c>
      <c r="R36" s="131">
        <v>15436</v>
      </c>
      <c r="S36" s="131">
        <v>15987</v>
      </c>
      <c r="T36" s="131">
        <v>16013</v>
      </c>
      <c r="U36" s="131">
        <v>16718</v>
      </c>
      <c r="V36" s="131">
        <v>17323</v>
      </c>
      <c r="W36" s="131">
        <v>17322</v>
      </c>
      <c r="X36" s="131">
        <v>17109</v>
      </c>
      <c r="Y36" s="131">
        <v>15732</v>
      </c>
      <c r="Z36" s="159">
        <v>16632</v>
      </c>
    </row>
    <row r="37" spans="1:26" x14ac:dyDescent="0.2">
      <c r="A37" s="132" t="s">
        <v>27</v>
      </c>
      <c r="B37" s="132">
        <v>4980</v>
      </c>
      <c r="C37" s="132" t="s">
        <v>122</v>
      </c>
      <c r="D37" s="133" t="s">
        <v>768</v>
      </c>
      <c r="E37" s="134">
        <v>1442</v>
      </c>
      <c r="F37" s="134">
        <v>1470</v>
      </c>
      <c r="G37" s="134">
        <v>1513</v>
      </c>
      <c r="H37" s="134">
        <v>1621</v>
      </c>
      <c r="I37" s="134">
        <v>1705</v>
      </c>
      <c r="J37" s="134">
        <v>1815</v>
      </c>
      <c r="K37" s="134">
        <v>1926</v>
      </c>
      <c r="L37" s="134">
        <v>1971</v>
      </c>
      <c r="M37" s="134">
        <v>1982</v>
      </c>
      <c r="N37" s="134">
        <v>1992</v>
      </c>
      <c r="O37" s="134">
        <v>1994</v>
      </c>
      <c r="P37" s="134">
        <v>1995</v>
      </c>
      <c r="Q37" s="134">
        <v>1995</v>
      </c>
      <c r="R37" s="131">
        <v>1995</v>
      </c>
      <c r="S37" s="131">
        <v>1960</v>
      </c>
      <c r="T37" s="131">
        <v>1949</v>
      </c>
      <c r="U37" s="131">
        <v>1958</v>
      </c>
      <c r="V37" s="131">
        <v>1970</v>
      </c>
      <c r="W37" s="131">
        <v>1992</v>
      </c>
      <c r="X37" s="131">
        <v>2012</v>
      </c>
      <c r="Y37" s="131">
        <v>2047</v>
      </c>
      <c r="Z37" s="159">
        <v>2107</v>
      </c>
    </row>
    <row r="38" spans="1:26" x14ac:dyDescent="0.2">
      <c r="A38" s="129" t="s">
        <v>27</v>
      </c>
      <c r="B38" s="129">
        <v>5270</v>
      </c>
      <c r="C38" s="129" t="s">
        <v>169</v>
      </c>
      <c r="D38" s="130" t="s">
        <v>768</v>
      </c>
      <c r="E38" s="131">
        <v>1527</v>
      </c>
      <c r="F38" s="131">
        <v>1334</v>
      </c>
      <c r="G38" s="131">
        <v>1342</v>
      </c>
      <c r="H38" s="131">
        <v>1426</v>
      </c>
      <c r="I38" s="131">
        <v>0</v>
      </c>
      <c r="J38" s="131">
        <v>1572</v>
      </c>
      <c r="K38" s="131">
        <v>1574</v>
      </c>
      <c r="L38" s="131">
        <v>1365</v>
      </c>
      <c r="M38" s="131">
        <v>1345</v>
      </c>
      <c r="N38" s="131">
        <v>1387</v>
      </c>
      <c r="O38" s="131">
        <v>1377</v>
      </c>
      <c r="P38" s="131">
        <v>1364</v>
      </c>
      <c r="Q38" s="131">
        <v>1781</v>
      </c>
      <c r="R38" s="131">
        <v>1713</v>
      </c>
      <c r="S38" s="131">
        <v>3080</v>
      </c>
      <c r="T38" s="131">
        <v>3091</v>
      </c>
      <c r="U38" s="131">
        <v>3136</v>
      </c>
      <c r="V38" s="131">
        <v>3160</v>
      </c>
      <c r="W38" s="131">
        <v>3162</v>
      </c>
      <c r="X38" s="131">
        <v>3190</v>
      </c>
      <c r="Y38" s="131">
        <v>3203</v>
      </c>
      <c r="Z38" s="159">
        <v>3116</v>
      </c>
    </row>
    <row r="39" spans="1:26" x14ac:dyDescent="0.2">
      <c r="A39" s="129" t="s">
        <v>27</v>
      </c>
      <c r="B39" s="129">
        <v>6029</v>
      </c>
      <c r="C39" s="129" t="s">
        <v>54</v>
      </c>
      <c r="D39" s="130" t="s">
        <v>768</v>
      </c>
      <c r="E39" s="131">
        <v>6052</v>
      </c>
      <c r="F39" s="131">
        <v>6115</v>
      </c>
      <c r="G39" s="131">
        <v>6152</v>
      </c>
      <c r="H39" s="131">
        <v>6203</v>
      </c>
      <c r="I39" s="131">
        <v>6256</v>
      </c>
      <c r="J39" s="131">
        <v>6308</v>
      </c>
      <c r="K39" s="131">
        <v>6530</v>
      </c>
      <c r="L39" s="131">
        <v>6590</v>
      </c>
      <c r="M39" s="131">
        <v>6619</v>
      </c>
      <c r="N39" s="131">
        <v>6777</v>
      </c>
      <c r="O39" s="131">
        <v>6789</v>
      </c>
      <c r="P39" s="131">
        <v>7729</v>
      </c>
      <c r="Q39" s="131">
        <v>8251</v>
      </c>
      <c r="R39" s="131">
        <v>8584</v>
      </c>
      <c r="S39" s="131">
        <v>8687</v>
      </c>
      <c r="T39" s="131">
        <v>8755</v>
      </c>
      <c r="U39" s="131">
        <v>8868</v>
      </c>
      <c r="V39" s="131">
        <v>8941</v>
      </c>
      <c r="W39" s="131">
        <v>9012</v>
      </c>
      <c r="X39" s="131">
        <v>9065</v>
      </c>
      <c r="Y39" s="131">
        <v>9152</v>
      </c>
      <c r="Z39" s="159">
        <v>9222</v>
      </c>
    </row>
    <row r="40" spans="1:26" x14ac:dyDescent="0.2">
      <c r="A40" s="129" t="s">
        <v>27</v>
      </c>
      <c r="B40" s="129">
        <v>6326</v>
      </c>
      <c r="C40" s="129" t="s">
        <v>169</v>
      </c>
      <c r="D40" s="130" t="s">
        <v>768</v>
      </c>
      <c r="E40" s="131">
        <v>799</v>
      </c>
      <c r="F40" s="131">
        <v>800</v>
      </c>
      <c r="G40" s="131">
        <v>827</v>
      </c>
      <c r="H40" s="131">
        <v>845</v>
      </c>
      <c r="I40" s="131">
        <v>0</v>
      </c>
      <c r="J40" s="131">
        <v>0</v>
      </c>
      <c r="K40" s="131">
        <v>0</v>
      </c>
      <c r="L40" s="131">
        <v>0</v>
      </c>
      <c r="M40" s="131">
        <v>943</v>
      </c>
      <c r="N40" s="131">
        <v>0</v>
      </c>
      <c r="O40" s="131">
        <v>0</v>
      </c>
      <c r="P40" s="131">
        <v>1170</v>
      </c>
      <c r="Q40" s="131">
        <v>1144</v>
      </c>
      <c r="R40" s="131">
        <v>1062</v>
      </c>
      <c r="S40" s="131"/>
      <c r="T40" s="131"/>
      <c r="U40" s="131" t="s">
        <v>794</v>
      </c>
      <c r="V40" s="131" t="s">
        <v>794</v>
      </c>
      <c r="W40" s="131" t="s">
        <v>794</v>
      </c>
      <c r="X40" s="131" t="s">
        <v>794</v>
      </c>
      <c r="Y40" s="131" t="e">
        <v>#N/A</v>
      </c>
      <c r="Z40" s="159" t="s">
        <v>794</v>
      </c>
    </row>
    <row r="41" spans="1:26" x14ac:dyDescent="0.2">
      <c r="A41" s="129" t="s">
        <v>27</v>
      </c>
      <c r="B41" s="129">
        <v>7139</v>
      </c>
      <c r="C41" s="129" t="s">
        <v>41</v>
      </c>
      <c r="D41" s="130" t="s">
        <v>768</v>
      </c>
      <c r="E41" s="131">
        <v>960</v>
      </c>
      <c r="F41" s="131">
        <v>960</v>
      </c>
      <c r="G41" s="131">
        <v>967</v>
      </c>
      <c r="H41" s="131">
        <v>950</v>
      </c>
      <c r="I41" s="131">
        <v>0</v>
      </c>
      <c r="J41" s="131">
        <v>426</v>
      </c>
      <c r="K41" s="131">
        <v>407</v>
      </c>
      <c r="L41" s="131">
        <v>943</v>
      </c>
      <c r="M41" s="131">
        <v>943</v>
      </c>
      <c r="N41" s="131">
        <v>943</v>
      </c>
      <c r="O41" s="131">
        <v>943</v>
      </c>
      <c r="P41" s="131">
        <v>943</v>
      </c>
      <c r="Q41" s="131">
        <v>943</v>
      </c>
      <c r="R41" s="131">
        <v>943</v>
      </c>
      <c r="S41" s="131">
        <v>943</v>
      </c>
      <c r="T41" s="131">
        <v>959</v>
      </c>
      <c r="U41" s="131">
        <v>959</v>
      </c>
      <c r="V41" s="131">
        <v>959</v>
      </c>
      <c r="W41" s="131">
        <v>959</v>
      </c>
      <c r="X41" s="131">
        <v>959</v>
      </c>
      <c r="Y41" s="131">
        <v>940</v>
      </c>
      <c r="Z41" s="159">
        <v>940</v>
      </c>
    </row>
    <row r="42" spans="1:26" x14ac:dyDescent="0.2">
      <c r="A42" s="129" t="s">
        <v>27</v>
      </c>
      <c r="B42" s="129">
        <v>7704</v>
      </c>
      <c r="C42" s="129" t="s">
        <v>772</v>
      </c>
      <c r="D42" s="130" t="s">
        <v>768</v>
      </c>
      <c r="E42" s="131">
        <v>270</v>
      </c>
      <c r="F42" s="131">
        <v>287</v>
      </c>
      <c r="G42" s="131">
        <v>295</v>
      </c>
      <c r="H42" s="131">
        <v>320</v>
      </c>
      <c r="I42" s="131">
        <v>339</v>
      </c>
      <c r="J42" s="131">
        <v>372</v>
      </c>
      <c r="K42" s="131">
        <v>392</v>
      </c>
      <c r="L42" s="131">
        <v>399</v>
      </c>
      <c r="M42" s="131">
        <v>400</v>
      </c>
      <c r="N42" s="131">
        <v>406</v>
      </c>
      <c r="O42" s="131">
        <v>410</v>
      </c>
      <c r="P42" s="131">
        <v>410</v>
      </c>
      <c r="Q42" s="131">
        <v>410</v>
      </c>
      <c r="R42" s="131">
        <v>410</v>
      </c>
      <c r="S42" s="131">
        <v>380</v>
      </c>
      <c r="T42" s="131">
        <v>380</v>
      </c>
      <c r="U42" s="131" t="s">
        <v>794</v>
      </c>
      <c r="V42" s="131" t="s">
        <v>794</v>
      </c>
      <c r="W42" s="131" t="s">
        <v>794</v>
      </c>
      <c r="X42" s="131" t="s">
        <v>794</v>
      </c>
      <c r="Y42" s="131" t="s">
        <v>794</v>
      </c>
      <c r="Z42" s="159" t="s">
        <v>794</v>
      </c>
    </row>
    <row r="43" spans="1:26" x14ac:dyDescent="0.2">
      <c r="A43" s="129" t="s">
        <v>27</v>
      </c>
      <c r="B43" s="129">
        <v>9140</v>
      </c>
      <c r="C43" s="129" t="s">
        <v>773</v>
      </c>
      <c r="D43" s="130" t="s">
        <v>768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1">
        <v>0</v>
      </c>
      <c r="K43" s="131">
        <v>0</v>
      </c>
      <c r="L43" s="131">
        <v>0</v>
      </c>
      <c r="M43" s="131">
        <v>0</v>
      </c>
      <c r="N43" s="131">
        <v>0</v>
      </c>
      <c r="O43" s="131">
        <v>0</v>
      </c>
      <c r="P43" s="131">
        <v>0</v>
      </c>
      <c r="Q43" s="131">
        <v>0</v>
      </c>
      <c r="R43" s="131"/>
      <c r="S43" s="131"/>
      <c r="T43" s="131"/>
      <c r="U43" s="131">
        <v>0</v>
      </c>
      <c r="V43" s="131" t="s">
        <v>794</v>
      </c>
      <c r="W43" s="131" t="s">
        <v>794</v>
      </c>
      <c r="X43" s="131" t="s">
        <v>794</v>
      </c>
      <c r="Y43" s="131" t="s">
        <v>794</v>
      </c>
      <c r="Z43" s="159" t="s">
        <v>794</v>
      </c>
    </row>
    <row r="44" spans="1:26" x14ac:dyDescent="0.2">
      <c r="A44" s="129" t="s">
        <v>27</v>
      </c>
      <c r="B44" s="129">
        <v>9490</v>
      </c>
      <c r="C44" s="129" t="s">
        <v>774</v>
      </c>
      <c r="D44" s="130" t="s">
        <v>768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529</v>
      </c>
      <c r="L44" s="131">
        <v>302</v>
      </c>
      <c r="M44" s="131">
        <v>304</v>
      </c>
      <c r="N44" s="131">
        <v>293</v>
      </c>
      <c r="O44" s="131">
        <v>293</v>
      </c>
      <c r="P44" s="131">
        <v>424</v>
      </c>
      <c r="Q44" s="131">
        <v>301</v>
      </c>
      <c r="R44" s="131">
        <v>409</v>
      </c>
      <c r="S44" s="131">
        <v>427</v>
      </c>
      <c r="T44" s="131">
        <v>427</v>
      </c>
      <c r="U44" s="131">
        <v>426</v>
      </c>
      <c r="V44" s="131" t="s">
        <v>794</v>
      </c>
      <c r="W44" s="131" t="s">
        <v>794</v>
      </c>
      <c r="X44" s="131" t="s">
        <v>794</v>
      </c>
      <c r="Y44" s="131" t="s">
        <v>794</v>
      </c>
      <c r="Z44" s="159" t="s">
        <v>794</v>
      </c>
    </row>
    <row r="45" spans="1:26" x14ac:dyDescent="0.2">
      <c r="A45" s="129" t="s">
        <v>27</v>
      </c>
      <c r="B45" s="129">
        <v>11609</v>
      </c>
      <c r="C45" s="129" t="s">
        <v>169</v>
      </c>
      <c r="D45" s="130" t="s">
        <v>768</v>
      </c>
      <c r="E45" s="131">
        <v>0</v>
      </c>
      <c r="F45" s="131">
        <v>0</v>
      </c>
      <c r="G45" s="131">
        <v>0</v>
      </c>
      <c r="H45" s="131">
        <v>0</v>
      </c>
      <c r="I45" s="131">
        <v>0</v>
      </c>
      <c r="J45" s="131">
        <v>0</v>
      </c>
      <c r="K45" s="131">
        <v>0</v>
      </c>
      <c r="L45" s="131">
        <v>0</v>
      </c>
      <c r="M45" s="131">
        <v>0</v>
      </c>
      <c r="N45" s="131">
        <v>0</v>
      </c>
      <c r="O45" s="131">
        <v>0</v>
      </c>
      <c r="P45" s="131">
        <v>383</v>
      </c>
      <c r="Q45" s="131">
        <v>358</v>
      </c>
      <c r="R45" s="131">
        <v>304</v>
      </c>
      <c r="S45" s="131"/>
      <c r="U45" s="120" t="s">
        <v>794</v>
      </c>
      <c r="V45" s="120" t="s">
        <v>794</v>
      </c>
      <c r="W45" s="120" t="s">
        <v>794</v>
      </c>
      <c r="X45" s="120" t="s">
        <v>794</v>
      </c>
      <c r="Y45" s="131" t="s">
        <v>794</v>
      </c>
      <c r="Z45" s="159" t="s">
        <v>794</v>
      </c>
    </row>
    <row r="46" spans="1:26" x14ac:dyDescent="0.2">
      <c r="A46" s="129" t="s">
        <v>27</v>
      </c>
      <c r="B46" s="129">
        <v>13099</v>
      </c>
      <c r="C46" s="129" t="s">
        <v>775</v>
      </c>
      <c r="D46" s="130" t="s">
        <v>768</v>
      </c>
      <c r="E46" s="131">
        <v>2004</v>
      </c>
      <c r="F46" s="131">
        <v>2117</v>
      </c>
      <c r="G46" s="131">
        <v>2180</v>
      </c>
      <c r="H46" s="131">
        <v>3122</v>
      </c>
      <c r="I46" s="131">
        <v>0</v>
      </c>
      <c r="J46" s="131">
        <v>0</v>
      </c>
      <c r="K46" s="131">
        <v>3041</v>
      </c>
      <c r="L46" s="131">
        <v>3354</v>
      </c>
      <c r="M46" s="131">
        <v>3794</v>
      </c>
      <c r="N46" s="131">
        <v>3448</v>
      </c>
      <c r="O46" s="131">
        <v>3448</v>
      </c>
      <c r="P46" s="131">
        <v>3434</v>
      </c>
      <c r="Q46" s="131">
        <v>3448</v>
      </c>
      <c r="R46" s="131">
        <v>3448</v>
      </c>
      <c r="S46" s="131">
        <v>3448</v>
      </c>
      <c r="T46" s="131">
        <v>3463</v>
      </c>
      <c r="U46" s="131">
        <v>3483</v>
      </c>
      <c r="V46" s="131">
        <v>3500</v>
      </c>
      <c r="W46" s="131">
        <v>3525</v>
      </c>
      <c r="X46" s="131">
        <v>3560</v>
      </c>
      <c r="Y46" s="131">
        <v>3654</v>
      </c>
      <c r="Z46" s="159">
        <v>3782</v>
      </c>
    </row>
    <row r="47" spans="1:26" x14ac:dyDescent="0.2">
      <c r="A47" s="132" t="s">
        <v>38</v>
      </c>
      <c r="B47" s="132">
        <v>450</v>
      </c>
      <c r="C47" s="132" t="s">
        <v>776</v>
      </c>
      <c r="D47" s="133" t="s">
        <v>777</v>
      </c>
      <c r="E47" s="134">
        <v>11229</v>
      </c>
      <c r="F47" s="134">
        <v>11412</v>
      </c>
      <c r="G47" s="134">
        <v>11562</v>
      </c>
      <c r="H47" s="134">
        <v>11572</v>
      </c>
      <c r="I47" s="134">
        <v>12150</v>
      </c>
      <c r="J47" s="134">
        <v>12496</v>
      </c>
      <c r="K47" s="134">
        <v>12667</v>
      </c>
      <c r="L47" s="134">
        <v>12742</v>
      </c>
      <c r="M47" s="134">
        <v>13020</v>
      </c>
      <c r="N47" s="134">
        <v>12497</v>
      </c>
      <c r="O47" s="134">
        <v>12281</v>
      </c>
      <c r="P47" s="134">
        <v>12421</v>
      </c>
      <c r="Q47" s="134">
        <v>12710</v>
      </c>
      <c r="R47" s="131">
        <v>12549</v>
      </c>
      <c r="S47" s="131">
        <v>12563</v>
      </c>
      <c r="T47" s="131">
        <v>12610</v>
      </c>
      <c r="U47" s="131">
        <v>13853</v>
      </c>
      <c r="V47" s="131">
        <v>12426</v>
      </c>
      <c r="W47" s="131">
        <v>12426</v>
      </c>
      <c r="X47" s="131">
        <v>12678</v>
      </c>
      <c r="Y47" s="131">
        <v>12508</v>
      </c>
      <c r="Z47" s="159">
        <v>12508</v>
      </c>
    </row>
    <row r="48" spans="1:26" x14ac:dyDescent="0.2">
      <c r="A48" s="129" t="s">
        <v>38</v>
      </c>
      <c r="B48" s="129">
        <v>1776</v>
      </c>
      <c r="C48" s="129" t="s">
        <v>778</v>
      </c>
      <c r="D48" s="130" t="s">
        <v>777</v>
      </c>
      <c r="E48" s="131">
        <v>12382</v>
      </c>
      <c r="F48" s="131">
        <v>12565</v>
      </c>
      <c r="G48" s="131">
        <v>12770</v>
      </c>
      <c r="H48" s="131">
        <v>12823</v>
      </c>
      <c r="I48" s="131">
        <v>12096</v>
      </c>
      <c r="J48" s="131">
        <v>12476</v>
      </c>
      <c r="K48" s="131">
        <v>12679</v>
      </c>
      <c r="L48" s="131">
        <v>13304</v>
      </c>
      <c r="M48" s="131">
        <v>13023</v>
      </c>
      <c r="N48" s="131">
        <v>13201</v>
      </c>
      <c r="O48" s="131">
        <v>13232</v>
      </c>
      <c r="P48" s="131">
        <v>13293</v>
      </c>
      <c r="Q48" s="131">
        <v>13360</v>
      </c>
      <c r="R48" s="131">
        <v>13673</v>
      </c>
      <c r="S48" s="131">
        <v>13794</v>
      </c>
      <c r="T48" s="131">
        <v>13699</v>
      </c>
      <c r="U48" s="131">
        <v>13925</v>
      </c>
      <c r="V48" s="131">
        <v>14069</v>
      </c>
      <c r="W48" s="131">
        <v>14104</v>
      </c>
      <c r="X48" s="131">
        <v>14155</v>
      </c>
      <c r="Y48" s="131">
        <v>14770</v>
      </c>
      <c r="Z48" s="159">
        <v>14947</v>
      </c>
    </row>
    <row r="49" spans="1:26" x14ac:dyDescent="0.2">
      <c r="A49" s="129" t="s">
        <v>38</v>
      </c>
      <c r="B49" s="129">
        <v>2062</v>
      </c>
      <c r="C49" s="129" t="s">
        <v>86</v>
      </c>
      <c r="D49" s="130" t="s">
        <v>777</v>
      </c>
      <c r="E49" s="131">
        <v>233441</v>
      </c>
      <c r="F49" s="131">
        <v>234928</v>
      </c>
      <c r="G49" s="131">
        <v>221365</v>
      </c>
      <c r="H49" s="131">
        <v>221270</v>
      </c>
      <c r="I49" s="131">
        <v>224415</v>
      </c>
      <c r="J49" s="131">
        <v>228385</v>
      </c>
      <c r="K49" s="131">
        <v>238035</v>
      </c>
      <c r="L49" s="131">
        <v>240415</v>
      </c>
      <c r="M49" s="131">
        <v>242783</v>
      </c>
      <c r="N49" s="131">
        <v>239521</v>
      </c>
      <c r="O49" s="131">
        <v>209511</v>
      </c>
      <c r="P49" s="131">
        <v>211704</v>
      </c>
      <c r="Q49" s="131">
        <v>212964</v>
      </c>
      <c r="R49" s="131">
        <v>212557</v>
      </c>
      <c r="S49" s="131">
        <v>214306</v>
      </c>
      <c r="T49" s="131">
        <v>214105</v>
      </c>
      <c r="U49" s="131">
        <v>220012</v>
      </c>
      <c r="V49" s="131">
        <v>222214</v>
      </c>
      <c r="W49" s="131">
        <v>223777</v>
      </c>
      <c r="X49" s="131">
        <v>258177</v>
      </c>
      <c r="Y49" s="131">
        <v>258393</v>
      </c>
      <c r="Z49" s="159">
        <v>260957</v>
      </c>
    </row>
    <row r="50" spans="1:26" x14ac:dyDescent="0.2">
      <c r="A50" s="132" t="s">
        <v>38</v>
      </c>
      <c r="B50" s="132">
        <v>2285</v>
      </c>
      <c r="C50" s="132" t="s">
        <v>779</v>
      </c>
      <c r="D50" s="133" t="s">
        <v>777</v>
      </c>
      <c r="E50" s="134">
        <v>380</v>
      </c>
      <c r="F50" s="134">
        <v>380</v>
      </c>
      <c r="G50" s="134">
        <v>375</v>
      </c>
      <c r="H50" s="134">
        <v>380</v>
      </c>
      <c r="I50" s="134">
        <v>380</v>
      </c>
      <c r="J50" s="134">
        <v>380</v>
      </c>
      <c r="K50" s="134">
        <v>442</v>
      </c>
      <c r="L50" s="134">
        <v>442</v>
      </c>
      <c r="M50" s="134">
        <v>430</v>
      </c>
      <c r="N50" s="134">
        <v>400</v>
      </c>
      <c r="O50" s="134">
        <v>397</v>
      </c>
      <c r="P50" s="134">
        <v>400</v>
      </c>
      <c r="Q50" s="134">
        <v>400</v>
      </c>
      <c r="R50" s="131">
        <v>400</v>
      </c>
      <c r="S50" s="131">
        <v>394</v>
      </c>
      <c r="T50" s="131">
        <v>384</v>
      </c>
      <c r="U50" s="131">
        <v>395</v>
      </c>
      <c r="V50" s="131">
        <v>404</v>
      </c>
      <c r="W50" s="131">
        <v>400</v>
      </c>
      <c r="X50" s="131">
        <v>411</v>
      </c>
      <c r="Y50" s="131">
        <v>419</v>
      </c>
      <c r="Z50" s="159">
        <v>431</v>
      </c>
    </row>
    <row r="51" spans="1:26" x14ac:dyDescent="0.2">
      <c r="A51" s="129" t="s">
        <v>38</v>
      </c>
      <c r="B51" s="129">
        <v>2707</v>
      </c>
      <c r="C51" s="129" t="s">
        <v>780</v>
      </c>
      <c r="D51" s="130" t="s">
        <v>777</v>
      </c>
      <c r="E51" s="131">
        <v>869</v>
      </c>
      <c r="F51" s="131">
        <v>885.5</v>
      </c>
      <c r="G51" s="131">
        <v>902</v>
      </c>
      <c r="H51" s="131">
        <v>897</v>
      </c>
      <c r="I51" s="131">
        <v>869</v>
      </c>
      <c r="J51" s="131">
        <v>869</v>
      </c>
      <c r="K51" s="131">
        <v>919</v>
      </c>
      <c r="L51" s="131">
        <v>919</v>
      </c>
      <c r="M51" s="131">
        <v>920</v>
      </c>
      <c r="N51" s="131">
        <v>0</v>
      </c>
      <c r="O51" s="131">
        <v>875</v>
      </c>
      <c r="P51" s="131">
        <v>875</v>
      </c>
      <c r="Q51" s="131">
        <v>875</v>
      </c>
      <c r="R51" s="131">
        <v>875</v>
      </c>
      <c r="S51" s="131">
        <v>875</v>
      </c>
      <c r="T51" s="131"/>
      <c r="U51" s="131" t="s">
        <v>794</v>
      </c>
      <c r="V51" s="131" t="s">
        <v>794</v>
      </c>
      <c r="W51" s="131" t="s">
        <v>794</v>
      </c>
      <c r="X51" s="131" t="s">
        <v>794</v>
      </c>
      <c r="Y51" s="131" t="s">
        <v>794</v>
      </c>
      <c r="Z51" s="159" t="s">
        <v>794</v>
      </c>
    </row>
    <row r="52" spans="1:26" x14ac:dyDescent="0.2">
      <c r="A52" s="132" t="s">
        <v>38</v>
      </c>
      <c r="B52" s="132">
        <v>4757</v>
      </c>
      <c r="C52" s="132" t="s">
        <v>781</v>
      </c>
      <c r="D52" s="133" t="s">
        <v>777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939</v>
      </c>
      <c r="Q52" s="134">
        <v>0</v>
      </c>
      <c r="R52" s="131"/>
      <c r="S52" s="131"/>
      <c r="T52" s="131"/>
      <c r="U52" s="131" t="s">
        <v>794</v>
      </c>
      <c r="V52" s="131" t="s">
        <v>794</v>
      </c>
      <c r="W52" s="131" t="s">
        <v>794</v>
      </c>
      <c r="X52" s="131" t="s">
        <v>794</v>
      </c>
      <c r="Y52" s="131" t="s">
        <v>794</v>
      </c>
      <c r="Z52" s="159" t="s">
        <v>794</v>
      </c>
    </row>
    <row r="53" spans="1:26" x14ac:dyDescent="0.2">
      <c r="A53" s="129" t="s">
        <v>38</v>
      </c>
      <c r="B53" s="129">
        <v>6312</v>
      </c>
      <c r="C53" s="129" t="s">
        <v>782</v>
      </c>
      <c r="D53" s="130" t="s">
        <v>777</v>
      </c>
      <c r="E53" s="131">
        <v>0</v>
      </c>
      <c r="F53" s="131">
        <v>0</v>
      </c>
      <c r="G53" s="131">
        <v>0</v>
      </c>
      <c r="H53" s="131">
        <v>0</v>
      </c>
      <c r="I53" s="131">
        <v>0</v>
      </c>
      <c r="J53" s="131">
        <v>0</v>
      </c>
      <c r="K53" s="131">
        <v>0</v>
      </c>
      <c r="L53" s="131">
        <v>0</v>
      </c>
      <c r="M53" s="131">
        <v>0</v>
      </c>
      <c r="N53" s="131">
        <v>0</v>
      </c>
      <c r="O53" s="131">
        <v>0</v>
      </c>
      <c r="P53" s="131">
        <v>0</v>
      </c>
      <c r="Q53" s="131">
        <v>0</v>
      </c>
      <c r="R53" s="131"/>
      <c r="S53" s="131"/>
      <c r="T53" s="131"/>
      <c r="U53" s="131">
        <v>0</v>
      </c>
      <c r="V53" s="131" t="s">
        <v>794</v>
      </c>
      <c r="W53" s="131" t="s">
        <v>794</v>
      </c>
      <c r="X53" s="131" t="s">
        <v>794</v>
      </c>
      <c r="Y53" s="131" t="s">
        <v>794</v>
      </c>
      <c r="Z53" s="159" t="s">
        <v>794</v>
      </c>
    </row>
    <row r="54" spans="1:26" x14ac:dyDescent="0.2">
      <c r="A54" s="129" t="s">
        <v>38</v>
      </c>
      <c r="B54" s="129">
        <v>6879</v>
      </c>
      <c r="C54" s="129" t="s">
        <v>783</v>
      </c>
      <c r="D54" s="130" t="s">
        <v>777</v>
      </c>
      <c r="E54" s="131">
        <v>1143</v>
      </c>
      <c r="F54" s="131">
        <v>1160</v>
      </c>
      <c r="G54" s="131">
        <v>0</v>
      </c>
      <c r="H54" s="131">
        <v>1160</v>
      </c>
      <c r="I54" s="131">
        <v>0</v>
      </c>
      <c r="J54" s="131">
        <v>0</v>
      </c>
      <c r="K54" s="131">
        <v>0</v>
      </c>
      <c r="L54" s="131">
        <v>0</v>
      </c>
      <c r="M54" s="131">
        <v>1267</v>
      </c>
      <c r="N54" s="131">
        <v>1160</v>
      </c>
      <c r="O54" s="131">
        <v>1160</v>
      </c>
      <c r="P54" s="131">
        <v>1160</v>
      </c>
      <c r="Q54" s="131">
        <v>1160</v>
      </c>
      <c r="R54" s="131">
        <v>1160</v>
      </c>
      <c r="S54" s="131">
        <v>1160</v>
      </c>
      <c r="T54" s="131">
        <v>1223</v>
      </c>
      <c r="U54" s="131">
        <v>1162</v>
      </c>
      <c r="V54" s="131">
        <v>1172</v>
      </c>
      <c r="W54" s="131">
        <v>1333</v>
      </c>
      <c r="X54" s="131">
        <v>1391</v>
      </c>
      <c r="Y54" s="131">
        <v>1391</v>
      </c>
      <c r="Z54" s="159">
        <v>1223</v>
      </c>
    </row>
    <row r="55" spans="1:26" x14ac:dyDescent="0.2">
      <c r="A55" s="129" t="s">
        <v>38</v>
      </c>
      <c r="B55" s="129">
        <v>7002</v>
      </c>
      <c r="C55" s="129" t="s">
        <v>784</v>
      </c>
      <c r="D55" s="130" t="s">
        <v>777</v>
      </c>
      <c r="E55" s="131">
        <v>0</v>
      </c>
      <c r="F55" s="131">
        <v>0</v>
      </c>
      <c r="G55" s="131">
        <v>522</v>
      </c>
      <c r="H55" s="131">
        <v>522</v>
      </c>
      <c r="I55" s="131">
        <v>522</v>
      </c>
      <c r="J55" s="131">
        <v>525</v>
      </c>
      <c r="K55" s="131">
        <v>522</v>
      </c>
      <c r="L55" s="131">
        <v>0</v>
      </c>
      <c r="M55" s="131">
        <v>522</v>
      </c>
      <c r="N55" s="131">
        <v>0</v>
      </c>
      <c r="O55" s="131">
        <v>0</v>
      </c>
      <c r="P55" s="131">
        <v>513</v>
      </c>
      <c r="Q55" s="131">
        <v>0</v>
      </c>
      <c r="R55" s="131"/>
      <c r="S55" s="131"/>
      <c r="T55" s="131"/>
      <c r="U55" s="131" t="s">
        <v>794</v>
      </c>
      <c r="V55" s="131" t="s">
        <v>794</v>
      </c>
      <c r="W55" s="131" t="s">
        <v>794</v>
      </c>
      <c r="X55" s="131" t="s">
        <v>794</v>
      </c>
      <c r="Y55" s="131" t="s">
        <v>794</v>
      </c>
      <c r="Z55" s="159" t="s">
        <v>794</v>
      </c>
    </row>
    <row r="56" spans="1:26" x14ac:dyDescent="0.2">
      <c r="A56" s="129" t="s">
        <v>38</v>
      </c>
      <c r="B56" s="129">
        <v>7637</v>
      </c>
      <c r="C56" s="129" t="s">
        <v>143</v>
      </c>
      <c r="D56" s="130" t="s">
        <v>777</v>
      </c>
      <c r="E56" s="131">
        <v>0</v>
      </c>
      <c r="F56" s="131">
        <v>0</v>
      </c>
      <c r="G56" s="131">
        <v>0</v>
      </c>
      <c r="H56" s="131">
        <v>0</v>
      </c>
      <c r="I56" s="131">
        <v>0</v>
      </c>
      <c r="J56" s="131">
        <v>0</v>
      </c>
      <c r="K56" s="131">
        <v>453</v>
      </c>
      <c r="L56" s="131">
        <v>493</v>
      </c>
      <c r="M56" s="131">
        <v>518</v>
      </c>
      <c r="N56" s="131">
        <v>0</v>
      </c>
      <c r="O56" s="131">
        <v>517</v>
      </c>
      <c r="P56" s="131">
        <v>517</v>
      </c>
      <c r="Q56" s="131">
        <v>517</v>
      </c>
      <c r="R56" s="131">
        <v>550</v>
      </c>
      <c r="S56" s="131">
        <v>525</v>
      </c>
      <c r="T56" s="131">
        <v>550</v>
      </c>
      <c r="U56" s="131">
        <v>563</v>
      </c>
      <c r="V56" s="131">
        <v>593</v>
      </c>
      <c r="W56" s="131">
        <v>629</v>
      </c>
      <c r="X56" s="131">
        <v>629</v>
      </c>
      <c r="Y56" s="131">
        <v>626</v>
      </c>
      <c r="Z56" s="159">
        <v>654</v>
      </c>
    </row>
    <row r="57" spans="1:26" x14ac:dyDescent="0.2">
      <c r="A57" s="129" t="s">
        <v>38</v>
      </c>
      <c r="B57" s="129">
        <v>7790</v>
      </c>
      <c r="C57" s="129" t="s">
        <v>785</v>
      </c>
      <c r="D57" s="130" t="s">
        <v>777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0</v>
      </c>
      <c r="K57" s="131">
        <v>250</v>
      </c>
      <c r="L57" s="131">
        <v>250</v>
      </c>
      <c r="M57" s="131">
        <v>250</v>
      </c>
      <c r="N57" s="131">
        <v>0</v>
      </c>
      <c r="O57" s="131">
        <v>250</v>
      </c>
      <c r="P57" s="131">
        <v>250</v>
      </c>
      <c r="Q57" s="131">
        <v>308</v>
      </c>
      <c r="R57" s="131">
        <v>306</v>
      </c>
      <c r="S57" s="131">
        <v>328</v>
      </c>
      <c r="T57" s="131">
        <v>185</v>
      </c>
      <c r="U57" s="131">
        <v>355</v>
      </c>
      <c r="V57" s="131">
        <v>365</v>
      </c>
      <c r="W57" s="131">
        <v>377</v>
      </c>
      <c r="X57" s="131">
        <v>388</v>
      </c>
      <c r="Y57" s="131">
        <v>573</v>
      </c>
      <c r="Z57" s="159">
        <v>583</v>
      </c>
    </row>
    <row r="58" spans="1:26" x14ac:dyDescent="0.2">
      <c r="A58" s="129" t="s">
        <v>38</v>
      </c>
      <c r="B58" s="129">
        <v>10443</v>
      </c>
      <c r="C58" s="129" t="s">
        <v>786</v>
      </c>
      <c r="D58" s="130" t="s">
        <v>777</v>
      </c>
      <c r="E58" s="131">
        <v>1015</v>
      </c>
      <c r="F58" s="131">
        <v>1020</v>
      </c>
      <c r="G58" s="131">
        <v>1020</v>
      </c>
      <c r="H58" s="131">
        <v>1015</v>
      </c>
      <c r="I58" s="131">
        <v>1024</v>
      </c>
      <c r="J58" s="131">
        <v>1020</v>
      </c>
      <c r="K58" s="131">
        <v>1020</v>
      </c>
      <c r="L58" s="131">
        <v>1024</v>
      </c>
      <c r="M58" s="131">
        <v>1024</v>
      </c>
      <c r="N58" s="131">
        <v>1024</v>
      </c>
      <c r="O58" s="131">
        <v>1024</v>
      </c>
      <c r="P58" s="131">
        <v>1024</v>
      </c>
      <c r="Q58" s="131">
        <v>1024</v>
      </c>
      <c r="R58" s="131">
        <v>1014</v>
      </c>
      <c r="S58" s="131">
        <v>1014</v>
      </c>
      <c r="T58" s="131">
        <v>1022</v>
      </c>
      <c r="U58" s="131">
        <v>1022</v>
      </c>
      <c r="V58" s="131">
        <v>1022</v>
      </c>
      <c r="W58" s="131">
        <v>1022</v>
      </c>
      <c r="X58" s="131">
        <v>1022</v>
      </c>
      <c r="Y58" s="131">
        <v>1022</v>
      </c>
      <c r="Z58" s="159">
        <v>1021</v>
      </c>
    </row>
    <row r="59" spans="1:26" x14ac:dyDescent="0.2">
      <c r="A59" s="129" t="s">
        <v>38</v>
      </c>
      <c r="B59" s="129">
        <v>12994</v>
      </c>
      <c r="C59" s="129" t="s">
        <v>787</v>
      </c>
      <c r="D59" s="130" t="s">
        <v>777</v>
      </c>
      <c r="E59" s="131">
        <v>0</v>
      </c>
      <c r="F59" s="131">
        <v>0</v>
      </c>
      <c r="G59" s="131">
        <v>0</v>
      </c>
      <c r="H59" s="131">
        <v>0</v>
      </c>
      <c r="I59" s="131">
        <v>0</v>
      </c>
      <c r="J59" s="131">
        <v>0</v>
      </c>
      <c r="K59" s="131">
        <v>0</v>
      </c>
      <c r="L59" s="131">
        <v>1363</v>
      </c>
      <c r="M59" s="131">
        <v>1409</v>
      </c>
      <c r="N59" s="131">
        <v>0</v>
      </c>
      <c r="O59" s="131">
        <v>0</v>
      </c>
      <c r="P59" s="131">
        <v>1355</v>
      </c>
      <c r="Q59" s="131">
        <v>1355</v>
      </c>
      <c r="R59" s="131">
        <v>1355</v>
      </c>
      <c r="S59" s="131">
        <v>1355</v>
      </c>
      <c r="U59" s="120" t="s">
        <v>794</v>
      </c>
      <c r="V59" s="120" t="s">
        <v>794</v>
      </c>
      <c r="W59" s="120" t="s">
        <v>794</v>
      </c>
      <c r="X59" s="120" t="s">
        <v>794</v>
      </c>
      <c r="Y59" s="120" t="s">
        <v>794</v>
      </c>
      <c r="Z59" s="159" t="s">
        <v>794</v>
      </c>
    </row>
    <row r="60" spans="1:26" x14ac:dyDescent="0.2">
      <c r="A60" s="129" t="s">
        <v>38</v>
      </c>
      <c r="B60" s="129">
        <v>20141</v>
      </c>
      <c r="C60" s="129" t="s">
        <v>788</v>
      </c>
      <c r="D60" s="130" t="s">
        <v>777</v>
      </c>
      <c r="E60" s="131">
        <v>129847</v>
      </c>
      <c r="F60" s="131">
        <v>139174</v>
      </c>
      <c r="G60" s="131">
        <v>147648</v>
      </c>
      <c r="H60" s="131">
        <v>156648</v>
      </c>
      <c r="I60" s="131">
        <v>166794</v>
      </c>
      <c r="J60" s="131">
        <v>176309</v>
      </c>
      <c r="K60" s="131">
        <v>189292</v>
      </c>
      <c r="L60" s="131">
        <v>193702.5</v>
      </c>
      <c r="M60" s="131">
        <v>198113</v>
      </c>
      <c r="N60" s="131">
        <v>198454</v>
      </c>
      <c r="O60" s="131">
        <v>198795</v>
      </c>
      <c r="P60" s="131">
        <v>207845</v>
      </c>
      <c r="Q60" s="131">
        <v>212025</v>
      </c>
      <c r="R60" s="131">
        <v>208319</v>
      </c>
      <c r="S60" s="131">
        <v>207845</v>
      </c>
      <c r="T60" s="131">
        <v>219573</v>
      </c>
      <c r="U60" s="131">
        <v>228631</v>
      </c>
      <c r="V60" s="131">
        <v>235823</v>
      </c>
      <c r="W60" s="131">
        <v>242799</v>
      </c>
      <c r="X60" s="131">
        <v>250345</v>
      </c>
      <c r="Y60" s="131">
        <v>257278</v>
      </c>
      <c r="Z60" s="159">
        <v>263873</v>
      </c>
    </row>
    <row r="61" spans="1:26" x14ac:dyDescent="0.2">
      <c r="A61" s="129" t="s">
        <v>28</v>
      </c>
      <c r="B61" s="129">
        <v>5640</v>
      </c>
      <c r="C61" s="129" t="s">
        <v>93</v>
      </c>
      <c r="D61" s="130" t="s">
        <v>759</v>
      </c>
      <c r="E61" s="131">
        <v>1091</v>
      </c>
      <c r="F61" s="131">
        <v>1100</v>
      </c>
      <c r="G61" s="131">
        <v>1092</v>
      </c>
      <c r="H61" s="131">
        <v>1116</v>
      </c>
      <c r="I61" s="131">
        <v>1116</v>
      </c>
      <c r="J61" s="131">
        <v>1123</v>
      </c>
      <c r="K61" s="131">
        <v>1148</v>
      </c>
      <c r="L61" s="131">
        <v>1233</v>
      </c>
      <c r="M61" s="131">
        <v>1239</v>
      </c>
      <c r="N61" s="131">
        <v>1211</v>
      </c>
      <c r="O61" s="131">
        <v>1209</v>
      </c>
      <c r="P61" s="131">
        <v>1209</v>
      </c>
      <c r="Q61" s="131">
        <v>1221</v>
      </c>
      <c r="R61" s="131">
        <v>1211</v>
      </c>
      <c r="S61" s="131">
        <v>1219</v>
      </c>
      <c r="T61" s="131">
        <v>1229</v>
      </c>
      <c r="U61" s="131">
        <v>1234</v>
      </c>
      <c r="V61" s="131">
        <v>1255</v>
      </c>
      <c r="W61" s="131">
        <v>1250</v>
      </c>
      <c r="X61" s="131">
        <v>1254</v>
      </c>
      <c r="Y61" s="131">
        <v>1271</v>
      </c>
      <c r="Z61" s="159">
        <v>1885</v>
      </c>
    </row>
    <row r="62" spans="1:26" x14ac:dyDescent="0.2">
      <c r="A62" s="129" t="s">
        <v>28</v>
      </c>
      <c r="B62" s="129">
        <v>7755</v>
      </c>
      <c r="C62" s="129" t="s">
        <v>171</v>
      </c>
      <c r="D62" s="130" t="s">
        <v>759</v>
      </c>
      <c r="E62" s="131">
        <v>0</v>
      </c>
      <c r="F62" s="131">
        <v>432</v>
      </c>
      <c r="G62" s="131">
        <v>0</v>
      </c>
      <c r="H62" s="131">
        <v>0</v>
      </c>
      <c r="I62" s="131">
        <v>0</v>
      </c>
      <c r="J62" s="131">
        <v>0</v>
      </c>
      <c r="K62" s="131">
        <v>0</v>
      </c>
      <c r="L62" s="131">
        <v>0</v>
      </c>
      <c r="M62" s="131">
        <v>0</v>
      </c>
      <c r="N62" s="131">
        <v>381</v>
      </c>
      <c r="O62" s="131">
        <v>389</v>
      </c>
      <c r="P62" s="131">
        <v>423</v>
      </c>
      <c r="Q62" s="131">
        <v>444</v>
      </c>
      <c r="R62" s="131">
        <v>446</v>
      </c>
      <c r="S62" s="131">
        <v>426</v>
      </c>
      <c r="T62" s="131">
        <v>426</v>
      </c>
      <c r="U62" s="131">
        <v>426</v>
      </c>
      <c r="V62" s="131">
        <v>0</v>
      </c>
      <c r="W62" s="131">
        <v>0</v>
      </c>
      <c r="X62" s="131">
        <v>0</v>
      </c>
      <c r="Y62" s="131" t="s">
        <v>794</v>
      </c>
      <c r="Z62" s="159" t="s">
        <v>794</v>
      </c>
    </row>
    <row r="63" spans="1:26" x14ac:dyDescent="0.2">
      <c r="A63" s="129" t="s">
        <v>28</v>
      </c>
      <c r="B63" s="129">
        <v>8953</v>
      </c>
      <c r="C63" s="129" t="s">
        <v>167</v>
      </c>
      <c r="D63" s="130" t="s">
        <v>759</v>
      </c>
      <c r="E63" s="131">
        <v>0</v>
      </c>
      <c r="F63" s="131">
        <v>0</v>
      </c>
      <c r="G63" s="131">
        <v>0</v>
      </c>
      <c r="H63" s="131">
        <v>0</v>
      </c>
      <c r="I63" s="131">
        <v>0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131">
        <v>0</v>
      </c>
      <c r="P63" s="131">
        <v>708</v>
      </c>
      <c r="Q63" s="131">
        <v>708</v>
      </c>
      <c r="R63" s="131">
        <v>792</v>
      </c>
      <c r="S63" s="131">
        <v>766</v>
      </c>
      <c r="T63" s="131">
        <v>769</v>
      </c>
      <c r="U63" s="131">
        <v>769</v>
      </c>
      <c r="V63" s="131">
        <v>776</v>
      </c>
      <c r="W63" s="131">
        <v>774</v>
      </c>
      <c r="X63" s="131">
        <v>779</v>
      </c>
      <c r="Y63" s="131">
        <v>781</v>
      </c>
      <c r="Z63" s="159">
        <v>776</v>
      </c>
    </row>
    <row r="64" spans="1:26" x14ac:dyDescent="0.2">
      <c r="A64" s="129" t="s">
        <v>19</v>
      </c>
      <c r="B64" s="129">
        <v>6392</v>
      </c>
      <c r="C64" s="129" t="s">
        <v>789</v>
      </c>
      <c r="D64" s="130" t="s">
        <v>754</v>
      </c>
      <c r="E64" s="131">
        <v>23515</v>
      </c>
      <c r="F64" s="131">
        <v>23649</v>
      </c>
      <c r="G64" s="131">
        <v>24142</v>
      </c>
      <c r="H64" s="131">
        <v>24266</v>
      </c>
      <c r="I64" s="131">
        <v>24659</v>
      </c>
      <c r="J64" s="131">
        <v>24696</v>
      </c>
      <c r="K64" s="131">
        <v>25441</v>
      </c>
      <c r="L64" s="131">
        <v>25792</v>
      </c>
      <c r="M64" s="131">
        <v>25003</v>
      </c>
      <c r="N64" s="131">
        <v>24746</v>
      </c>
      <c r="O64" s="131">
        <v>25129</v>
      </c>
      <c r="P64" s="131">
        <v>27230</v>
      </c>
      <c r="Q64" s="131">
        <v>28435</v>
      </c>
      <c r="R64" s="131">
        <v>28466</v>
      </c>
      <c r="S64" s="131">
        <v>30083</v>
      </c>
      <c r="T64" s="131">
        <v>30560</v>
      </c>
      <c r="U64" s="131">
        <v>27779</v>
      </c>
      <c r="V64" s="131">
        <v>27779</v>
      </c>
      <c r="W64" s="131">
        <v>30822</v>
      </c>
      <c r="X64" s="131">
        <v>30078</v>
      </c>
      <c r="Y64" s="131">
        <v>32503</v>
      </c>
      <c r="Z64" s="159">
        <v>32503</v>
      </c>
    </row>
    <row r="65" spans="1:26" x14ac:dyDescent="0.2">
      <c r="A65" s="129" t="s">
        <v>19</v>
      </c>
      <c r="B65" s="129">
        <v>10963</v>
      </c>
      <c r="C65" s="129" t="s">
        <v>170</v>
      </c>
      <c r="D65" s="130" t="s">
        <v>754</v>
      </c>
      <c r="E65" s="131">
        <v>10275</v>
      </c>
      <c r="F65" s="131">
        <v>10316</v>
      </c>
      <c r="G65" s="131">
        <v>10411</v>
      </c>
      <c r="H65" s="131">
        <v>10357</v>
      </c>
      <c r="I65" s="131">
        <v>10097</v>
      </c>
      <c r="J65" s="131">
        <v>10030</v>
      </c>
      <c r="K65" s="131">
        <v>10047</v>
      </c>
      <c r="L65" s="131">
        <v>10070</v>
      </c>
      <c r="M65" s="131">
        <v>10150</v>
      </c>
      <c r="N65" s="131">
        <v>9703</v>
      </c>
      <c r="O65" s="131">
        <v>9701</v>
      </c>
      <c r="P65" s="131">
        <v>9698</v>
      </c>
      <c r="Q65" s="131">
        <v>9705</v>
      </c>
      <c r="R65" s="131">
        <v>9693</v>
      </c>
      <c r="S65" s="131">
        <v>9307</v>
      </c>
      <c r="T65" s="131">
        <v>9315</v>
      </c>
      <c r="U65" s="131">
        <v>9344</v>
      </c>
      <c r="V65" s="131">
        <v>10051</v>
      </c>
      <c r="W65" s="131">
        <v>10157</v>
      </c>
      <c r="X65" s="131">
        <v>9560</v>
      </c>
      <c r="Y65" s="131">
        <v>9542</v>
      </c>
      <c r="Z65" s="159">
        <v>9454</v>
      </c>
    </row>
    <row r="66" spans="1:26" x14ac:dyDescent="0.2">
      <c r="A66" s="129" t="s">
        <v>19</v>
      </c>
      <c r="B66" s="129">
        <v>12443</v>
      </c>
      <c r="C66" s="129" t="s">
        <v>790</v>
      </c>
      <c r="D66" s="130" t="s">
        <v>754</v>
      </c>
      <c r="E66" s="131">
        <v>0</v>
      </c>
      <c r="F66" s="131">
        <v>0</v>
      </c>
      <c r="G66" s="131">
        <v>0</v>
      </c>
      <c r="H66" s="131">
        <v>0</v>
      </c>
      <c r="I66" s="131">
        <v>0</v>
      </c>
      <c r="J66" s="131">
        <v>0</v>
      </c>
      <c r="K66" s="131">
        <v>0</v>
      </c>
      <c r="L66" s="131">
        <v>4028</v>
      </c>
      <c r="M66" s="131">
        <v>6946</v>
      </c>
      <c r="N66" s="131">
        <v>0</v>
      </c>
      <c r="O66" s="131">
        <v>6986</v>
      </c>
      <c r="P66" s="131">
        <v>6961</v>
      </c>
      <c r="Q66" s="131">
        <v>7129</v>
      </c>
      <c r="R66" s="131">
        <v>7060</v>
      </c>
      <c r="S66" s="131">
        <v>7055</v>
      </c>
      <c r="T66" s="131">
        <v>7236</v>
      </c>
      <c r="U66" s="131">
        <v>7315</v>
      </c>
      <c r="V66" s="131">
        <v>7343</v>
      </c>
      <c r="W66" s="131">
        <v>7026</v>
      </c>
      <c r="X66" s="131">
        <v>7554</v>
      </c>
      <c r="Y66" s="131">
        <v>7706</v>
      </c>
      <c r="Z66" s="159">
        <v>7615</v>
      </c>
    </row>
    <row r="67" spans="1:26" x14ac:dyDescent="0.2">
      <c r="A67" s="129" t="s">
        <v>19</v>
      </c>
      <c r="B67" s="129">
        <v>13343</v>
      </c>
      <c r="C67" s="129" t="s">
        <v>719</v>
      </c>
      <c r="D67" s="130" t="s">
        <v>754</v>
      </c>
      <c r="E67" s="131">
        <v>105671</v>
      </c>
      <c r="F67" s="131">
        <v>107805</v>
      </c>
      <c r="G67" s="131">
        <v>110616</v>
      </c>
      <c r="H67" s="131">
        <v>113386</v>
      </c>
      <c r="I67" s="131">
        <v>121737</v>
      </c>
      <c r="J67" s="131">
        <v>134624</v>
      </c>
      <c r="K67" s="131">
        <v>139946</v>
      </c>
      <c r="L67" s="131">
        <v>142751</v>
      </c>
      <c r="M67" s="131">
        <v>141603</v>
      </c>
      <c r="N67" s="131">
        <v>145592</v>
      </c>
      <c r="O67" s="131">
        <v>145592</v>
      </c>
      <c r="P67" s="131">
        <v>155800</v>
      </c>
      <c r="Q67" s="131">
        <v>134656</v>
      </c>
      <c r="R67" s="131">
        <v>136661</v>
      </c>
      <c r="S67" s="131">
        <v>139555</v>
      </c>
      <c r="T67" s="131">
        <v>142637</v>
      </c>
      <c r="U67" s="131">
        <v>146077</v>
      </c>
      <c r="V67" s="131">
        <v>149148</v>
      </c>
      <c r="W67" s="131">
        <v>152356</v>
      </c>
      <c r="X67" s="131">
        <v>156892</v>
      </c>
      <c r="Y67" s="131">
        <v>161701</v>
      </c>
      <c r="Z67" s="159" t="s">
        <v>794</v>
      </c>
    </row>
    <row r="68" spans="1:26" x14ac:dyDescent="0.2">
      <c r="A68" s="129" t="s">
        <v>29</v>
      </c>
      <c r="B68" s="129">
        <v>1156</v>
      </c>
      <c r="C68" s="129" t="s">
        <v>717</v>
      </c>
      <c r="D68" s="130" t="s">
        <v>759</v>
      </c>
      <c r="E68" s="131">
        <v>2821</v>
      </c>
      <c r="F68" s="131">
        <v>2905</v>
      </c>
      <c r="G68" s="131">
        <v>2939</v>
      </c>
      <c r="H68" s="131">
        <v>3028</v>
      </c>
      <c r="I68" s="131">
        <v>3158</v>
      </c>
      <c r="J68" s="131">
        <v>3381</v>
      </c>
      <c r="K68" s="131">
        <v>4044</v>
      </c>
      <c r="L68" s="131">
        <v>4416</v>
      </c>
      <c r="M68" s="131">
        <v>5042</v>
      </c>
      <c r="N68" s="131">
        <v>5108</v>
      </c>
      <c r="O68" s="131">
        <v>5206</v>
      </c>
      <c r="P68" s="131">
        <v>5326</v>
      </c>
      <c r="Q68" s="131">
        <v>5530</v>
      </c>
      <c r="R68" s="131">
        <v>5584</v>
      </c>
      <c r="S68" s="131">
        <v>5800</v>
      </c>
      <c r="T68" s="131">
        <v>6089</v>
      </c>
      <c r="U68" s="131">
        <v>6435</v>
      </c>
      <c r="V68" s="131">
        <v>6810</v>
      </c>
      <c r="W68" s="131">
        <v>7382</v>
      </c>
      <c r="X68" s="131">
        <v>7919</v>
      </c>
      <c r="Y68" s="131">
        <v>8514</v>
      </c>
      <c r="Z68" s="159">
        <v>9432</v>
      </c>
    </row>
    <row r="69" spans="1:26" x14ac:dyDescent="0.2">
      <c r="A69" s="129" t="s">
        <v>29</v>
      </c>
      <c r="B69" s="129">
        <v>2999</v>
      </c>
      <c r="C69" s="129" t="s">
        <v>791</v>
      </c>
      <c r="D69" s="130" t="s">
        <v>759</v>
      </c>
      <c r="E69" s="131">
        <v>0</v>
      </c>
      <c r="F69" s="131">
        <v>0</v>
      </c>
      <c r="G69" s="131">
        <v>0</v>
      </c>
      <c r="H69" s="131">
        <v>0</v>
      </c>
      <c r="I69" s="131">
        <v>0</v>
      </c>
      <c r="J69" s="131">
        <v>0</v>
      </c>
      <c r="K69" s="131">
        <v>0</v>
      </c>
      <c r="L69" s="131">
        <v>0</v>
      </c>
      <c r="M69" s="131">
        <v>0</v>
      </c>
      <c r="N69" s="131">
        <v>0</v>
      </c>
      <c r="O69" s="131">
        <v>0</v>
      </c>
      <c r="P69" s="131">
        <v>478</v>
      </c>
      <c r="Q69" s="131">
        <v>517</v>
      </c>
      <c r="R69" s="131">
        <v>478</v>
      </c>
      <c r="S69" s="131">
        <v>517</v>
      </c>
      <c r="T69" s="131">
        <v>494</v>
      </c>
      <c r="U69" s="131">
        <v>489</v>
      </c>
      <c r="V69" s="131">
        <v>492</v>
      </c>
      <c r="W69" s="131">
        <v>490</v>
      </c>
      <c r="X69" s="131">
        <v>496</v>
      </c>
      <c r="Y69" s="131">
        <v>497</v>
      </c>
      <c r="Z69" s="159">
        <v>500</v>
      </c>
    </row>
    <row r="70" spans="1:26" x14ac:dyDescent="0.2">
      <c r="A70" s="129" t="s">
        <v>29</v>
      </c>
      <c r="B70" s="129">
        <v>5643</v>
      </c>
      <c r="C70" s="129" t="s">
        <v>792</v>
      </c>
      <c r="D70" s="130" t="s">
        <v>759</v>
      </c>
      <c r="E70" s="131">
        <v>456</v>
      </c>
      <c r="F70" s="131">
        <v>471</v>
      </c>
      <c r="G70" s="131">
        <v>488</v>
      </c>
      <c r="H70" s="131">
        <v>499</v>
      </c>
      <c r="I70" s="131">
        <v>0</v>
      </c>
      <c r="J70" s="131">
        <v>0</v>
      </c>
      <c r="K70" s="131">
        <v>521</v>
      </c>
      <c r="L70" s="131">
        <v>526</v>
      </c>
      <c r="M70" s="131">
        <v>0</v>
      </c>
      <c r="N70" s="131">
        <v>526</v>
      </c>
      <c r="O70" s="131">
        <v>526</v>
      </c>
      <c r="P70" s="131">
        <v>527</v>
      </c>
      <c r="Q70" s="131">
        <v>531</v>
      </c>
      <c r="R70" s="131">
        <v>532</v>
      </c>
      <c r="S70" s="131">
        <v>532</v>
      </c>
      <c r="T70" s="131">
        <v>533</v>
      </c>
      <c r="U70" s="131">
        <v>497</v>
      </c>
      <c r="V70" s="131">
        <v>497</v>
      </c>
      <c r="W70" s="131">
        <v>497</v>
      </c>
      <c r="X70" s="131">
        <v>497</v>
      </c>
      <c r="Y70" s="131">
        <v>497</v>
      </c>
      <c r="Z70" s="159">
        <v>504</v>
      </c>
    </row>
    <row r="71" spans="1:26" x14ac:dyDescent="0.2">
      <c r="A71" s="129" t="s">
        <v>29</v>
      </c>
      <c r="B71" s="129">
        <v>6151</v>
      </c>
      <c r="C71" s="129" t="s">
        <v>793</v>
      </c>
      <c r="D71" s="130" t="s">
        <v>759</v>
      </c>
      <c r="E71" s="131">
        <v>0</v>
      </c>
      <c r="F71" s="131">
        <v>0</v>
      </c>
      <c r="G71" s="131">
        <v>0</v>
      </c>
      <c r="H71" s="131">
        <v>0</v>
      </c>
      <c r="I71" s="131">
        <v>0</v>
      </c>
      <c r="J71" s="131">
        <v>0</v>
      </c>
      <c r="K71" s="131">
        <v>493</v>
      </c>
      <c r="L71" s="131">
        <v>6579</v>
      </c>
      <c r="M71" s="131">
        <v>13664</v>
      </c>
      <c r="N71" s="131" t="s">
        <v>794</v>
      </c>
      <c r="O71" s="131">
        <v>14372</v>
      </c>
      <c r="P71" s="131">
        <v>14004</v>
      </c>
      <c r="Q71" s="131">
        <v>14113</v>
      </c>
      <c r="R71" s="131">
        <v>14591</v>
      </c>
      <c r="S71" s="131">
        <v>14249</v>
      </c>
      <c r="T71" s="131">
        <v>15401</v>
      </c>
      <c r="U71" s="131">
        <v>15661</v>
      </c>
      <c r="V71" s="131">
        <v>15871</v>
      </c>
      <c r="W71" s="131">
        <v>16246</v>
      </c>
      <c r="X71" s="131">
        <v>17622</v>
      </c>
      <c r="Y71" s="131">
        <v>17926</v>
      </c>
      <c r="Z71" s="159">
        <v>18969</v>
      </c>
    </row>
    <row r="72" spans="1:26" x14ac:dyDescent="0.2">
      <c r="A72" s="129" t="s">
        <v>29</v>
      </c>
      <c r="B72" s="129">
        <v>6792</v>
      </c>
      <c r="C72" s="129" t="s">
        <v>795</v>
      </c>
      <c r="D72" s="130" t="s">
        <v>759</v>
      </c>
      <c r="E72" s="131">
        <v>376</v>
      </c>
      <c r="F72" s="131">
        <v>376</v>
      </c>
      <c r="G72" s="131">
        <v>376</v>
      </c>
      <c r="H72" s="131">
        <v>376</v>
      </c>
      <c r="I72" s="131">
        <v>376</v>
      </c>
      <c r="J72" s="131">
        <v>376</v>
      </c>
      <c r="K72" s="131">
        <v>0</v>
      </c>
      <c r="L72" s="131">
        <v>0</v>
      </c>
      <c r="M72" s="131">
        <v>376</v>
      </c>
      <c r="N72" s="131">
        <v>376</v>
      </c>
      <c r="O72" s="131">
        <v>376</v>
      </c>
      <c r="P72" s="131">
        <v>376</v>
      </c>
      <c r="Q72" s="131">
        <v>376</v>
      </c>
      <c r="R72" s="131">
        <v>376</v>
      </c>
      <c r="S72" s="131">
        <v>375</v>
      </c>
      <c r="T72" s="131">
        <v>376</v>
      </c>
      <c r="U72" s="131">
        <v>376</v>
      </c>
      <c r="V72" s="131">
        <v>376</v>
      </c>
      <c r="W72" s="131">
        <v>376</v>
      </c>
      <c r="X72" s="131" t="s">
        <v>794</v>
      </c>
      <c r="Y72" s="131" t="s">
        <v>794</v>
      </c>
      <c r="Z72" s="159" t="s">
        <v>794</v>
      </c>
    </row>
    <row r="73" spans="1:26" x14ac:dyDescent="0.2">
      <c r="A73" s="129" t="s">
        <v>29</v>
      </c>
      <c r="B73" s="129">
        <v>7849</v>
      </c>
      <c r="C73" s="129" t="s">
        <v>791</v>
      </c>
      <c r="D73" s="130" t="s">
        <v>759</v>
      </c>
      <c r="E73" s="131">
        <v>0</v>
      </c>
      <c r="F73" s="131">
        <v>0</v>
      </c>
      <c r="G73" s="131">
        <v>0</v>
      </c>
      <c r="H73" s="131">
        <v>0</v>
      </c>
      <c r="I73" s="131">
        <v>0</v>
      </c>
      <c r="J73" s="131">
        <v>0</v>
      </c>
      <c r="K73" s="131">
        <v>0</v>
      </c>
      <c r="L73" s="131">
        <v>0</v>
      </c>
      <c r="M73" s="131">
        <v>0</v>
      </c>
      <c r="N73" s="131">
        <v>0</v>
      </c>
      <c r="O73" s="131">
        <v>0</v>
      </c>
      <c r="P73" s="131">
        <v>572</v>
      </c>
      <c r="Q73" s="131">
        <v>469</v>
      </c>
      <c r="R73" s="131">
        <v>478</v>
      </c>
      <c r="S73" s="131">
        <v>496</v>
      </c>
      <c r="T73" s="131">
        <v>473</v>
      </c>
      <c r="U73" s="131">
        <v>476</v>
      </c>
      <c r="V73" s="131">
        <v>480</v>
      </c>
      <c r="W73" s="131">
        <v>480</v>
      </c>
      <c r="X73" s="131">
        <v>475</v>
      </c>
      <c r="Y73" s="131">
        <v>480</v>
      </c>
      <c r="Z73" s="159">
        <v>507</v>
      </c>
    </row>
    <row r="74" spans="1:26" x14ac:dyDescent="0.2">
      <c r="A74" s="129" t="s">
        <v>29</v>
      </c>
      <c r="B74" s="129">
        <v>8005</v>
      </c>
      <c r="C74" s="129" t="s">
        <v>796</v>
      </c>
      <c r="D74" s="130" t="s">
        <v>759</v>
      </c>
      <c r="E74" s="131">
        <v>0</v>
      </c>
      <c r="F74" s="131">
        <v>0</v>
      </c>
      <c r="G74" s="131">
        <v>0</v>
      </c>
      <c r="H74" s="131">
        <v>0</v>
      </c>
      <c r="I74" s="131">
        <v>0</v>
      </c>
      <c r="J74" s="131">
        <v>0</v>
      </c>
      <c r="K74" s="131">
        <v>0</v>
      </c>
      <c r="L74" s="131">
        <v>293</v>
      </c>
      <c r="M74" s="131">
        <v>293</v>
      </c>
      <c r="N74" s="131">
        <v>0</v>
      </c>
      <c r="O74" s="131">
        <v>0</v>
      </c>
      <c r="P74" s="131">
        <v>293</v>
      </c>
      <c r="Q74" s="131">
        <v>293</v>
      </c>
      <c r="R74" s="131">
        <v>293</v>
      </c>
      <c r="S74" s="131">
        <v>281</v>
      </c>
      <c r="T74" s="131">
        <v>293</v>
      </c>
      <c r="U74" s="131">
        <v>285</v>
      </c>
      <c r="V74" s="131">
        <v>286</v>
      </c>
      <c r="W74" s="131">
        <v>286</v>
      </c>
      <c r="X74" s="131" t="s">
        <v>794</v>
      </c>
      <c r="Y74" s="131" t="s">
        <v>794</v>
      </c>
      <c r="Z74" s="159" t="s">
        <v>794</v>
      </c>
    </row>
    <row r="75" spans="1:26" x14ac:dyDescent="0.2">
      <c r="A75" s="132" t="s">
        <v>29</v>
      </c>
      <c r="B75" s="132">
        <v>8020</v>
      </c>
      <c r="C75" s="132" t="s">
        <v>797</v>
      </c>
      <c r="D75" s="133" t="s">
        <v>759</v>
      </c>
      <c r="E75" s="134">
        <v>0</v>
      </c>
      <c r="F75" s="134">
        <v>0</v>
      </c>
      <c r="G75" s="134">
        <v>0</v>
      </c>
      <c r="H75" s="134">
        <v>0</v>
      </c>
      <c r="I75" s="134">
        <v>0</v>
      </c>
      <c r="J75" s="134">
        <v>0</v>
      </c>
      <c r="K75" s="134">
        <v>0</v>
      </c>
      <c r="L75" s="134">
        <v>598</v>
      </c>
      <c r="M75" s="134">
        <v>598</v>
      </c>
      <c r="N75" s="134">
        <v>598</v>
      </c>
      <c r="O75" s="134">
        <v>598</v>
      </c>
      <c r="P75" s="134">
        <v>598</v>
      </c>
      <c r="Q75" s="134">
        <v>598</v>
      </c>
      <c r="R75" s="131">
        <v>598</v>
      </c>
      <c r="S75" s="131">
        <v>598</v>
      </c>
      <c r="T75" s="131">
        <v>598</v>
      </c>
      <c r="U75" s="131">
        <v>598</v>
      </c>
      <c r="V75" s="131">
        <v>598</v>
      </c>
      <c r="W75" s="131">
        <v>598</v>
      </c>
      <c r="X75" s="131">
        <v>598</v>
      </c>
      <c r="Y75" s="131">
        <v>598</v>
      </c>
      <c r="Z75" s="159">
        <v>598</v>
      </c>
    </row>
    <row r="76" spans="1:26" x14ac:dyDescent="0.2">
      <c r="A76" s="129" t="s">
        <v>29</v>
      </c>
      <c r="B76" s="129">
        <v>8339</v>
      </c>
      <c r="C76" s="129" t="s">
        <v>68</v>
      </c>
      <c r="D76" s="130" t="s">
        <v>759</v>
      </c>
      <c r="E76" s="131">
        <v>0</v>
      </c>
      <c r="F76" s="131">
        <v>0</v>
      </c>
      <c r="G76" s="131">
        <v>0</v>
      </c>
      <c r="H76" s="131">
        <v>0</v>
      </c>
      <c r="I76" s="131">
        <v>0</v>
      </c>
      <c r="J76" s="131">
        <v>848</v>
      </c>
      <c r="K76" s="131">
        <v>860</v>
      </c>
      <c r="L76" s="131">
        <v>861</v>
      </c>
      <c r="M76" s="131">
        <v>2369</v>
      </c>
      <c r="N76" s="131">
        <v>2358</v>
      </c>
      <c r="O76" s="131">
        <v>2358</v>
      </c>
      <c r="P76" s="131" t="s">
        <v>794</v>
      </c>
      <c r="Q76" s="131">
        <v>2969</v>
      </c>
      <c r="R76" s="131">
        <v>2967</v>
      </c>
      <c r="S76" s="131">
        <v>2984</v>
      </c>
      <c r="T76" s="131">
        <v>2620</v>
      </c>
      <c r="U76" s="131">
        <v>2880</v>
      </c>
      <c r="V76" s="131">
        <v>2887</v>
      </c>
      <c r="W76" s="131">
        <v>2895</v>
      </c>
      <c r="X76" s="131">
        <v>2949</v>
      </c>
      <c r="Y76" s="131">
        <v>2817</v>
      </c>
      <c r="Z76" s="159">
        <v>3152</v>
      </c>
    </row>
    <row r="77" spans="1:26" x14ac:dyDescent="0.2">
      <c r="A77" s="129" t="s">
        <v>29</v>
      </c>
      <c r="B77" s="129">
        <v>8481</v>
      </c>
      <c r="C77" s="129" t="s">
        <v>798</v>
      </c>
      <c r="D77" s="130" t="s">
        <v>759</v>
      </c>
      <c r="E77" s="131">
        <v>0</v>
      </c>
      <c r="F77" s="131">
        <v>0</v>
      </c>
      <c r="G77" s="131">
        <v>0</v>
      </c>
      <c r="H77" s="131">
        <v>0</v>
      </c>
      <c r="I77" s="131">
        <v>0</v>
      </c>
      <c r="J77" s="131">
        <v>0</v>
      </c>
      <c r="K77" s="131">
        <v>0</v>
      </c>
      <c r="L77" s="131">
        <v>0</v>
      </c>
      <c r="M77" s="131">
        <v>0</v>
      </c>
      <c r="N77" s="131">
        <v>0</v>
      </c>
      <c r="O77" s="131">
        <v>0</v>
      </c>
      <c r="P77" s="131">
        <v>2129</v>
      </c>
      <c r="Q77" s="131">
        <v>1747</v>
      </c>
      <c r="R77" s="131">
        <v>2585</v>
      </c>
      <c r="S77" s="131">
        <v>2256</v>
      </c>
      <c r="T77" s="131">
        <v>2250</v>
      </c>
      <c r="U77" s="131">
        <v>2301</v>
      </c>
      <c r="V77" s="131">
        <v>2401</v>
      </c>
      <c r="W77" s="131">
        <v>2462</v>
      </c>
      <c r="X77" s="131">
        <v>2578</v>
      </c>
      <c r="Y77" s="131">
        <v>2764</v>
      </c>
      <c r="Z77" s="159">
        <v>2912</v>
      </c>
    </row>
    <row r="78" spans="1:26" x14ac:dyDescent="0.2">
      <c r="A78" s="129" t="s">
        <v>29</v>
      </c>
      <c r="B78" s="129">
        <v>9360</v>
      </c>
      <c r="C78" s="129" t="s">
        <v>799</v>
      </c>
      <c r="D78" s="130" t="s">
        <v>759</v>
      </c>
      <c r="E78" s="131">
        <v>0</v>
      </c>
      <c r="F78" s="131">
        <v>0</v>
      </c>
      <c r="G78" s="131">
        <v>0</v>
      </c>
      <c r="H78" s="131">
        <v>0</v>
      </c>
      <c r="I78" s="131">
        <v>0</v>
      </c>
      <c r="J78" s="131">
        <v>0</v>
      </c>
      <c r="K78" s="131">
        <v>0</v>
      </c>
      <c r="L78" s="131">
        <v>0</v>
      </c>
      <c r="M78" s="131">
        <v>0</v>
      </c>
      <c r="N78" s="131">
        <v>0</v>
      </c>
      <c r="O78" s="131">
        <v>0</v>
      </c>
      <c r="P78" s="131">
        <v>898</v>
      </c>
      <c r="Q78" s="131">
        <v>901</v>
      </c>
      <c r="R78" s="131">
        <v>901</v>
      </c>
      <c r="S78" s="131">
        <v>901</v>
      </c>
      <c r="T78" s="131"/>
      <c r="U78" s="131" t="s">
        <v>794</v>
      </c>
      <c r="V78" s="131" t="s">
        <v>794</v>
      </c>
      <c r="W78" s="131" t="s">
        <v>794</v>
      </c>
      <c r="X78" s="131" t="s">
        <v>794</v>
      </c>
      <c r="Y78" s="131" t="s">
        <v>794</v>
      </c>
      <c r="Z78" s="159" t="s">
        <v>794</v>
      </c>
    </row>
    <row r="79" spans="1:26" x14ac:dyDescent="0.2">
      <c r="A79" s="129" t="s">
        <v>20</v>
      </c>
      <c r="B79" s="129">
        <v>279</v>
      </c>
      <c r="C79" s="129" t="s">
        <v>483</v>
      </c>
      <c r="D79" s="130" t="s">
        <v>777</v>
      </c>
      <c r="E79" s="131">
        <v>0</v>
      </c>
      <c r="F79" s="131">
        <v>0</v>
      </c>
      <c r="G79" s="131">
        <v>0</v>
      </c>
      <c r="H79" s="131">
        <v>1563</v>
      </c>
      <c r="I79" s="131">
        <v>0</v>
      </c>
      <c r="J79" s="131">
        <v>1502</v>
      </c>
      <c r="K79" s="131">
        <v>0</v>
      </c>
      <c r="L79" s="131">
        <v>1540</v>
      </c>
      <c r="M79" s="131">
        <v>1529</v>
      </c>
      <c r="N79" s="131">
        <v>1529</v>
      </c>
      <c r="O79" s="131">
        <v>1534</v>
      </c>
      <c r="P79" s="131">
        <v>1534</v>
      </c>
      <c r="Q79" s="131">
        <v>1534</v>
      </c>
      <c r="R79" s="131">
        <v>1506</v>
      </c>
      <c r="S79" s="131">
        <v>1445</v>
      </c>
      <c r="T79" s="131">
        <v>1539</v>
      </c>
      <c r="U79" s="131">
        <v>1539</v>
      </c>
      <c r="V79" s="131">
        <v>1539</v>
      </c>
      <c r="W79" s="131">
        <v>1539</v>
      </c>
      <c r="X79" s="131">
        <v>1539</v>
      </c>
      <c r="Y79" s="131">
        <v>1604</v>
      </c>
      <c r="Z79" s="159">
        <v>1778</v>
      </c>
    </row>
    <row r="80" spans="1:26" x14ac:dyDescent="0.2">
      <c r="A80" s="129" t="s">
        <v>20</v>
      </c>
      <c r="B80" s="129">
        <v>540</v>
      </c>
      <c r="C80" s="129" t="s">
        <v>1</v>
      </c>
      <c r="D80" s="130" t="s">
        <v>777</v>
      </c>
      <c r="E80" s="131">
        <v>0</v>
      </c>
      <c r="F80" s="131">
        <v>0</v>
      </c>
      <c r="G80" s="131">
        <v>0</v>
      </c>
      <c r="H80" s="131">
        <v>0</v>
      </c>
      <c r="I80" s="131">
        <v>0</v>
      </c>
      <c r="J80" s="131">
        <v>0</v>
      </c>
      <c r="K80" s="131">
        <v>449</v>
      </c>
      <c r="L80" s="131">
        <v>450</v>
      </c>
      <c r="M80" s="131">
        <v>448</v>
      </c>
      <c r="N80" s="131">
        <v>0</v>
      </c>
      <c r="O80" s="131">
        <v>0</v>
      </c>
      <c r="P80" s="131">
        <v>448</v>
      </c>
      <c r="Q80" s="131">
        <v>449</v>
      </c>
      <c r="R80" s="131">
        <v>449</v>
      </c>
      <c r="S80" s="131">
        <v>449</v>
      </c>
      <c r="T80" s="131"/>
      <c r="U80" s="131" t="s">
        <v>794</v>
      </c>
      <c r="V80" s="131" t="s">
        <v>794</v>
      </c>
      <c r="W80" s="131" t="s">
        <v>794</v>
      </c>
      <c r="X80" s="131" t="s">
        <v>794</v>
      </c>
      <c r="Y80" s="131" t="s">
        <v>794</v>
      </c>
      <c r="Z80" s="159" t="s">
        <v>794</v>
      </c>
    </row>
    <row r="81" spans="1:26" x14ac:dyDescent="0.2">
      <c r="A81" s="129" t="s">
        <v>20</v>
      </c>
      <c r="B81" s="129">
        <v>543</v>
      </c>
      <c r="C81" s="129" t="s">
        <v>100</v>
      </c>
      <c r="D81" s="130" t="s">
        <v>777</v>
      </c>
      <c r="E81" s="131">
        <v>608</v>
      </c>
      <c r="F81" s="131">
        <v>607</v>
      </c>
      <c r="G81" s="131">
        <v>608</v>
      </c>
      <c r="H81" s="131">
        <v>609</v>
      </c>
      <c r="I81" s="131">
        <v>613</v>
      </c>
      <c r="J81" s="131">
        <v>613</v>
      </c>
      <c r="K81" s="131">
        <v>613</v>
      </c>
      <c r="L81" s="131">
        <v>614</v>
      </c>
      <c r="M81" s="131">
        <v>614</v>
      </c>
      <c r="N81" s="131">
        <v>0</v>
      </c>
      <c r="O81" s="131">
        <v>0</v>
      </c>
      <c r="P81" s="131">
        <v>614</v>
      </c>
      <c r="Q81" s="131">
        <v>614</v>
      </c>
      <c r="R81" s="131">
        <v>614</v>
      </c>
      <c r="S81" s="131">
        <v>615</v>
      </c>
      <c r="T81" s="131"/>
      <c r="U81" s="131" t="s">
        <v>794</v>
      </c>
      <c r="V81" s="131" t="s">
        <v>794</v>
      </c>
      <c r="W81" s="131" t="s">
        <v>794</v>
      </c>
      <c r="X81" s="131" t="s">
        <v>794</v>
      </c>
      <c r="Y81" s="131" t="s">
        <v>794</v>
      </c>
      <c r="Z81" s="159" t="s">
        <v>794</v>
      </c>
    </row>
    <row r="82" spans="1:26" x14ac:dyDescent="0.2">
      <c r="A82" s="129" t="s">
        <v>20</v>
      </c>
      <c r="B82" s="129">
        <v>590</v>
      </c>
      <c r="C82" s="129" t="s">
        <v>483</v>
      </c>
      <c r="D82" s="130" t="s">
        <v>777</v>
      </c>
      <c r="E82" s="131">
        <v>0</v>
      </c>
      <c r="F82" s="131">
        <v>0</v>
      </c>
      <c r="G82" s="131">
        <v>0</v>
      </c>
      <c r="H82" s="131">
        <v>0</v>
      </c>
      <c r="I82" s="131">
        <v>0</v>
      </c>
      <c r="J82" s="131">
        <v>0</v>
      </c>
      <c r="K82" s="131">
        <v>0</v>
      </c>
      <c r="L82" s="131">
        <v>0</v>
      </c>
      <c r="M82" s="131">
        <v>0</v>
      </c>
      <c r="N82" s="131">
        <v>3665</v>
      </c>
      <c r="O82" s="131">
        <v>2820</v>
      </c>
      <c r="P82" s="131">
        <v>2863</v>
      </c>
      <c r="Q82" s="131">
        <v>3232</v>
      </c>
      <c r="R82" s="131">
        <v>2867</v>
      </c>
      <c r="S82" s="131">
        <v>2939</v>
      </c>
      <c r="T82" s="131">
        <v>3141</v>
      </c>
      <c r="U82" s="131">
        <v>3160</v>
      </c>
      <c r="V82" s="131">
        <v>3067</v>
      </c>
      <c r="W82" s="131">
        <v>3263</v>
      </c>
      <c r="X82" s="131">
        <v>3434</v>
      </c>
      <c r="Y82" s="131">
        <v>3171</v>
      </c>
      <c r="Z82" s="159">
        <v>3178</v>
      </c>
    </row>
    <row r="83" spans="1:26" x14ac:dyDescent="0.2">
      <c r="A83" s="129" t="s">
        <v>20</v>
      </c>
      <c r="B83" s="129">
        <v>964</v>
      </c>
      <c r="C83" s="129" t="s">
        <v>800</v>
      </c>
      <c r="D83" s="130" t="s">
        <v>777</v>
      </c>
      <c r="E83" s="131">
        <v>0</v>
      </c>
      <c r="F83" s="131">
        <v>0</v>
      </c>
      <c r="G83" s="131">
        <v>0</v>
      </c>
      <c r="H83" s="131">
        <v>0</v>
      </c>
      <c r="I83" s="131">
        <v>0</v>
      </c>
      <c r="J83" s="131">
        <v>0</v>
      </c>
      <c r="K83" s="131">
        <v>0</v>
      </c>
      <c r="L83" s="131">
        <v>0</v>
      </c>
      <c r="M83" s="131">
        <v>0</v>
      </c>
      <c r="N83" s="131">
        <v>0</v>
      </c>
      <c r="O83" s="131">
        <v>0</v>
      </c>
      <c r="P83" s="131">
        <v>370</v>
      </c>
      <c r="Q83" s="131">
        <v>389</v>
      </c>
      <c r="R83" s="131">
        <v>443</v>
      </c>
      <c r="S83" s="131">
        <v>387</v>
      </c>
      <c r="T83" s="131">
        <v>393</v>
      </c>
      <c r="U83" s="131">
        <v>404</v>
      </c>
      <c r="V83" s="131">
        <v>402</v>
      </c>
      <c r="W83" s="131">
        <v>404</v>
      </c>
      <c r="X83" s="131">
        <v>404</v>
      </c>
      <c r="Y83" s="131" t="s">
        <v>794</v>
      </c>
      <c r="Z83" s="159" t="s">
        <v>794</v>
      </c>
    </row>
    <row r="84" spans="1:26" x14ac:dyDescent="0.2">
      <c r="A84" s="129" t="s">
        <v>20</v>
      </c>
      <c r="B84" s="129">
        <v>1631</v>
      </c>
      <c r="C84" s="129" t="s">
        <v>65</v>
      </c>
      <c r="D84" s="130" t="s">
        <v>777</v>
      </c>
      <c r="E84" s="131">
        <v>4617</v>
      </c>
      <c r="F84" s="131">
        <v>0</v>
      </c>
      <c r="G84" s="131">
        <v>4720</v>
      </c>
      <c r="H84" s="131">
        <v>0</v>
      </c>
      <c r="I84" s="131">
        <v>4653</v>
      </c>
      <c r="J84" s="131">
        <v>4650</v>
      </c>
      <c r="K84" s="131">
        <v>3879</v>
      </c>
      <c r="L84" s="131">
        <v>4642</v>
      </c>
      <c r="M84" s="131">
        <v>4642</v>
      </c>
      <c r="N84" s="131">
        <v>4409</v>
      </c>
      <c r="O84" s="131">
        <v>4201</v>
      </c>
      <c r="P84" s="131">
        <v>4233</v>
      </c>
      <c r="Q84" s="131">
        <v>4385</v>
      </c>
      <c r="R84" s="131">
        <v>4425</v>
      </c>
      <c r="S84" s="131">
        <v>4426</v>
      </c>
      <c r="T84" s="131">
        <v>4445</v>
      </c>
      <c r="U84" s="131">
        <v>4584</v>
      </c>
      <c r="V84" s="131">
        <v>4632</v>
      </c>
      <c r="W84" s="131">
        <v>4666</v>
      </c>
      <c r="X84" s="131">
        <v>4698</v>
      </c>
      <c r="Y84" s="131">
        <v>4776</v>
      </c>
      <c r="Z84" s="159">
        <v>4946</v>
      </c>
    </row>
    <row r="85" spans="1:26" x14ac:dyDescent="0.2">
      <c r="A85" s="129" t="s">
        <v>20</v>
      </c>
      <c r="B85" s="129">
        <v>2043</v>
      </c>
      <c r="C85" s="129" t="s">
        <v>801</v>
      </c>
      <c r="D85" s="130" t="s">
        <v>777</v>
      </c>
      <c r="E85" s="131">
        <v>0</v>
      </c>
      <c r="F85" s="131">
        <v>0</v>
      </c>
      <c r="G85" s="131">
        <v>0</v>
      </c>
      <c r="H85" s="131">
        <v>0</v>
      </c>
      <c r="I85" s="131">
        <v>0</v>
      </c>
      <c r="J85" s="131">
        <v>0</v>
      </c>
      <c r="K85" s="131">
        <v>492</v>
      </c>
      <c r="L85" s="131">
        <v>492</v>
      </c>
      <c r="M85" s="131">
        <v>492</v>
      </c>
      <c r="N85" s="131">
        <v>492</v>
      </c>
      <c r="O85" s="131">
        <v>492</v>
      </c>
      <c r="P85" s="131">
        <v>492</v>
      </c>
      <c r="Q85" s="131">
        <v>492</v>
      </c>
      <c r="R85" s="131">
        <v>492</v>
      </c>
      <c r="S85" s="131">
        <v>492</v>
      </c>
      <c r="T85" s="131">
        <v>492</v>
      </c>
      <c r="U85" s="131">
        <v>492</v>
      </c>
      <c r="V85" s="131" t="s">
        <v>794</v>
      </c>
      <c r="W85" s="131" t="s">
        <v>794</v>
      </c>
      <c r="X85" s="131" t="s">
        <v>794</v>
      </c>
      <c r="Y85" s="131" t="s">
        <v>794</v>
      </c>
      <c r="Z85" s="159" t="s">
        <v>794</v>
      </c>
    </row>
    <row r="86" spans="1:26" x14ac:dyDescent="0.2">
      <c r="A86" s="132" t="s">
        <v>20</v>
      </c>
      <c r="B86" s="132">
        <v>2978</v>
      </c>
      <c r="C86" s="132" t="s">
        <v>483</v>
      </c>
      <c r="D86" s="133" t="s">
        <v>777</v>
      </c>
      <c r="E86" s="134">
        <v>4054</v>
      </c>
      <c r="F86" s="134">
        <v>4091</v>
      </c>
      <c r="G86" s="134">
        <v>4143</v>
      </c>
      <c r="H86" s="134">
        <v>4188</v>
      </c>
      <c r="I86" s="134">
        <v>4257</v>
      </c>
      <c r="J86" s="134">
        <v>4321</v>
      </c>
      <c r="K86" s="134">
        <v>4497</v>
      </c>
      <c r="L86" s="134">
        <v>4514</v>
      </c>
      <c r="M86" s="134">
        <v>4582</v>
      </c>
      <c r="N86" s="134">
        <v>4706</v>
      </c>
      <c r="O86" s="134">
        <v>2958</v>
      </c>
      <c r="P86" s="134">
        <v>3000</v>
      </c>
      <c r="Q86" s="134">
        <v>3015</v>
      </c>
      <c r="R86" s="131">
        <v>2827</v>
      </c>
      <c r="S86" s="131">
        <v>3001</v>
      </c>
      <c r="T86" s="131">
        <v>3074</v>
      </c>
      <c r="U86" s="131">
        <v>2726</v>
      </c>
      <c r="V86" s="131">
        <v>2740</v>
      </c>
      <c r="W86" s="131">
        <v>2740</v>
      </c>
      <c r="X86" s="131">
        <v>2796</v>
      </c>
      <c r="Y86" s="131">
        <v>2792</v>
      </c>
      <c r="Z86" s="159">
        <v>2817</v>
      </c>
    </row>
    <row r="87" spans="1:26" x14ac:dyDescent="0.2">
      <c r="A87" s="129" t="s">
        <v>20</v>
      </c>
      <c r="B87" s="129">
        <v>3182</v>
      </c>
      <c r="C87" s="129" t="s">
        <v>483</v>
      </c>
      <c r="D87" s="130" t="s">
        <v>777</v>
      </c>
      <c r="E87" s="131">
        <v>9302.6880000000019</v>
      </c>
      <c r="F87" s="131">
        <v>9371.6190000000006</v>
      </c>
      <c r="G87" s="131">
        <v>9869.0000000000018</v>
      </c>
      <c r="H87" s="131">
        <v>10563</v>
      </c>
      <c r="I87" s="131">
        <v>11296</v>
      </c>
      <c r="J87" s="131">
        <v>11896</v>
      </c>
      <c r="K87" s="131">
        <v>12607</v>
      </c>
      <c r="L87" s="131">
        <v>12566</v>
      </c>
      <c r="M87" s="131">
        <v>12487</v>
      </c>
      <c r="N87" s="131">
        <v>12430</v>
      </c>
      <c r="O87" s="131">
        <v>12484</v>
      </c>
      <c r="P87" s="131">
        <v>12511</v>
      </c>
      <c r="Q87" s="131">
        <v>12840</v>
      </c>
      <c r="R87" s="131">
        <v>13537</v>
      </c>
      <c r="S87" s="131">
        <v>13130</v>
      </c>
      <c r="T87" s="131">
        <v>13241</v>
      </c>
      <c r="U87" s="131">
        <v>13247</v>
      </c>
      <c r="V87" s="131">
        <v>13219</v>
      </c>
      <c r="W87" s="131">
        <v>13062</v>
      </c>
      <c r="X87" s="131">
        <v>13189</v>
      </c>
      <c r="Y87" s="131">
        <v>13262</v>
      </c>
      <c r="Z87" s="159">
        <v>13620</v>
      </c>
    </row>
    <row r="88" spans="1:26" x14ac:dyDescent="0.2">
      <c r="A88" s="129" t="s">
        <v>20</v>
      </c>
      <c r="B88" s="129">
        <v>3590</v>
      </c>
      <c r="C88" s="129" t="s">
        <v>792</v>
      </c>
      <c r="D88" s="130" t="s">
        <v>777</v>
      </c>
      <c r="E88" s="131">
        <v>0</v>
      </c>
      <c r="F88" s="131">
        <v>1200</v>
      </c>
      <c r="G88" s="131">
        <v>1085</v>
      </c>
      <c r="H88" s="131">
        <v>1099</v>
      </c>
      <c r="I88" s="131">
        <v>1084</v>
      </c>
      <c r="J88" s="131">
        <v>1084</v>
      </c>
      <c r="K88" s="131">
        <v>1108</v>
      </c>
      <c r="L88" s="131">
        <v>1108</v>
      </c>
      <c r="M88" s="131">
        <v>1108</v>
      </c>
      <c r="N88" s="131">
        <v>1714</v>
      </c>
      <c r="O88" s="131">
        <v>1714</v>
      </c>
      <c r="P88" s="131">
        <v>1589</v>
      </c>
      <c r="Q88" s="131">
        <v>1085</v>
      </c>
      <c r="R88" s="131">
        <v>1844</v>
      </c>
      <c r="S88" s="131">
        <v>1791</v>
      </c>
      <c r="T88" s="131">
        <v>1844</v>
      </c>
      <c r="U88" s="131">
        <v>1847</v>
      </c>
      <c r="V88" s="131">
        <v>1848</v>
      </c>
      <c r="W88" s="131">
        <v>1856</v>
      </c>
      <c r="X88" s="131">
        <v>1849</v>
      </c>
      <c r="Y88" s="131">
        <v>1850</v>
      </c>
      <c r="Z88" s="159">
        <v>1794</v>
      </c>
    </row>
    <row r="89" spans="1:26" x14ac:dyDescent="0.2">
      <c r="A89" s="129" t="s">
        <v>20</v>
      </c>
      <c r="B89" s="129">
        <v>3668</v>
      </c>
      <c r="C89" s="129" t="s">
        <v>792</v>
      </c>
      <c r="D89" s="130" t="s">
        <v>777</v>
      </c>
      <c r="E89" s="131">
        <v>0</v>
      </c>
      <c r="F89" s="131">
        <v>828</v>
      </c>
      <c r="G89" s="131">
        <v>898</v>
      </c>
      <c r="H89" s="131">
        <v>980</v>
      </c>
      <c r="I89" s="131">
        <v>0</v>
      </c>
      <c r="J89" s="131">
        <v>1035</v>
      </c>
      <c r="K89" s="131">
        <v>1139</v>
      </c>
      <c r="L89" s="131">
        <v>1113</v>
      </c>
      <c r="M89" s="131">
        <v>1118</v>
      </c>
      <c r="N89" s="131">
        <v>1118</v>
      </c>
      <c r="O89" s="131">
        <v>1118</v>
      </c>
      <c r="P89" s="131">
        <v>1794</v>
      </c>
      <c r="Q89" s="131">
        <v>1179</v>
      </c>
      <c r="R89" s="131">
        <v>1173</v>
      </c>
      <c r="S89" s="131">
        <v>1193</v>
      </c>
      <c r="T89" s="131">
        <v>1196</v>
      </c>
      <c r="U89" s="131">
        <v>1204</v>
      </c>
      <c r="V89" s="131" t="s">
        <v>794</v>
      </c>
      <c r="W89" s="131" t="s">
        <v>794</v>
      </c>
      <c r="X89" s="131" t="s">
        <v>794</v>
      </c>
      <c r="Y89" s="131" t="s">
        <v>794</v>
      </c>
      <c r="Z89" s="159" t="s">
        <v>794</v>
      </c>
    </row>
    <row r="90" spans="1:26" x14ac:dyDescent="0.2">
      <c r="A90" s="132" t="s">
        <v>20</v>
      </c>
      <c r="B90" s="132">
        <v>3677</v>
      </c>
      <c r="C90" s="132" t="s">
        <v>483</v>
      </c>
      <c r="D90" s="133" t="s">
        <v>777</v>
      </c>
      <c r="E90" s="134">
        <v>0</v>
      </c>
      <c r="F90" s="134">
        <v>0</v>
      </c>
      <c r="G90" s="134">
        <v>0</v>
      </c>
      <c r="H90" s="134"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698</v>
      </c>
      <c r="N90" s="134">
        <v>712</v>
      </c>
      <c r="O90" s="134">
        <v>712</v>
      </c>
      <c r="P90" s="134">
        <v>712</v>
      </c>
      <c r="Q90" s="134">
        <v>697</v>
      </c>
      <c r="R90" s="131">
        <v>705</v>
      </c>
      <c r="S90" s="131">
        <v>702</v>
      </c>
      <c r="T90" s="131">
        <v>714</v>
      </c>
      <c r="U90" s="131">
        <v>714</v>
      </c>
      <c r="V90" s="131">
        <v>714</v>
      </c>
      <c r="W90" s="131">
        <v>714</v>
      </c>
      <c r="X90" s="131" t="s">
        <v>794</v>
      </c>
      <c r="Y90" s="131" t="s">
        <v>794</v>
      </c>
      <c r="Z90" s="159" t="s">
        <v>794</v>
      </c>
    </row>
    <row r="91" spans="1:26" x14ac:dyDescent="0.2">
      <c r="A91" s="129" t="s">
        <v>20</v>
      </c>
      <c r="B91" s="129">
        <v>3692</v>
      </c>
      <c r="C91" s="129" t="s">
        <v>80</v>
      </c>
      <c r="D91" s="130" t="s">
        <v>777</v>
      </c>
      <c r="E91" s="131">
        <v>0</v>
      </c>
      <c r="F91" s="131">
        <v>0</v>
      </c>
      <c r="G91" s="131">
        <v>4665</v>
      </c>
      <c r="H91" s="131">
        <v>4700</v>
      </c>
      <c r="I91" s="131">
        <v>0</v>
      </c>
      <c r="J91" s="131">
        <v>4846</v>
      </c>
      <c r="K91" s="131">
        <v>4927</v>
      </c>
      <c r="L91" s="131">
        <v>4498</v>
      </c>
      <c r="M91" s="131">
        <v>4715</v>
      </c>
      <c r="N91" s="131">
        <v>4464</v>
      </c>
      <c r="O91" s="131">
        <v>4730</v>
      </c>
      <c r="P91" s="131">
        <v>5991</v>
      </c>
      <c r="Q91" s="131">
        <v>5991</v>
      </c>
      <c r="R91" s="131">
        <v>5866</v>
      </c>
      <c r="S91" s="131">
        <v>5991</v>
      </c>
      <c r="T91" s="131">
        <v>5725</v>
      </c>
      <c r="U91" s="131">
        <v>4993</v>
      </c>
      <c r="V91" s="131">
        <v>3116</v>
      </c>
      <c r="W91" s="131">
        <v>3144</v>
      </c>
      <c r="X91" s="131">
        <v>3144</v>
      </c>
      <c r="Y91" s="131">
        <v>3144</v>
      </c>
      <c r="Z91" s="159">
        <v>3144</v>
      </c>
    </row>
    <row r="92" spans="1:26" x14ac:dyDescent="0.2">
      <c r="A92" s="129" t="s">
        <v>20</v>
      </c>
      <c r="B92" s="129">
        <v>3759</v>
      </c>
      <c r="C92" s="129" t="s">
        <v>911</v>
      </c>
      <c r="D92" s="130" t="s">
        <v>777</v>
      </c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>
        <v>1193</v>
      </c>
      <c r="T92" s="131"/>
      <c r="U92" s="131" t="s">
        <v>794</v>
      </c>
      <c r="V92" s="131" t="s">
        <v>794</v>
      </c>
      <c r="W92" s="131" t="s">
        <v>794</v>
      </c>
      <c r="X92" s="131" t="s">
        <v>794</v>
      </c>
      <c r="Y92" s="131" t="s">
        <v>794</v>
      </c>
      <c r="Z92" s="159" t="s">
        <v>794</v>
      </c>
    </row>
    <row r="93" spans="1:26" x14ac:dyDescent="0.2">
      <c r="A93" s="129" t="s">
        <v>20</v>
      </c>
      <c r="B93" s="129">
        <v>4550</v>
      </c>
      <c r="C93" s="129" t="s">
        <v>83</v>
      </c>
      <c r="D93" s="130" t="s">
        <v>777</v>
      </c>
      <c r="E93" s="131">
        <v>450</v>
      </c>
      <c r="F93" s="131">
        <v>467</v>
      </c>
      <c r="G93" s="131">
        <v>487</v>
      </c>
      <c r="H93" s="131">
        <v>0</v>
      </c>
      <c r="I93" s="131">
        <v>0</v>
      </c>
      <c r="J93" s="131">
        <v>0</v>
      </c>
      <c r="K93" s="131">
        <v>0</v>
      </c>
      <c r="L93" s="131">
        <v>0</v>
      </c>
      <c r="M93" s="131">
        <v>0</v>
      </c>
      <c r="N93" s="131">
        <v>0</v>
      </c>
      <c r="O93" s="131">
        <v>0</v>
      </c>
      <c r="P93" s="131">
        <v>548</v>
      </c>
      <c r="Q93" s="131">
        <v>550</v>
      </c>
      <c r="R93" s="131">
        <v>560</v>
      </c>
      <c r="S93" s="131">
        <v>555</v>
      </c>
      <c r="T93" s="131">
        <v>555</v>
      </c>
      <c r="U93" s="131">
        <v>589</v>
      </c>
      <c r="V93" s="131">
        <v>625</v>
      </c>
      <c r="W93" s="131">
        <v>623</v>
      </c>
      <c r="X93" s="131">
        <v>645</v>
      </c>
      <c r="Y93" s="131">
        <v>654</v>
      </c>
      <c r="Z93" s="159">
        <v>686</v>
      </c>
    </row>
    <row r="94" spans="1:26" x14ac:dyDescent="0.2">
      <c r="A94" s="129" t="s">
        <v>20</v>
      </c>
      <c r="B94" s="129">
        <v>4668</v>
      </c>
      <c r="C94" s="129" t="s">
        <v>792</v>
      </c>
      <c r="D94" s="130" t="s">
        <v>777</v>
      </c>
      <c r="E94" s="131">
        <v>0</v>
      </c>
      <c r="F94" s="131">
        <v>561</v>
      </c>
      <c r="G94" s="131">
        <v>563</v>
      </c>
      <c r="H94" s="131">
        <v>581</v>
      </c>
      <c r="I94" s="131">
        <v>0</v>
      </c>
      <c r="J94" s="131">
        <v>538</v>
      </c>
      <c r="K94" s="131">
        <v>570</v>
      </c>
      <c r="L94" s="131">
        <v>739</v>
      </c>
      <c r="M94" s="131">
        <v>570</v>
      </c>
      <c r="N94" s="131">
        <v>785</v>
      </c>
      <c r="O94" s="131">
        <v>570</v>
      </c>
      <c r="P94" s="131">
        <v>789</v>
      </c>
      <c r="Q94" s="131">
        <v>541</v>
      </c>
      <c r="R94" s="131"/>
      <c r="S94" s="131"/>
      <c r="T94" s="131"/>
      <c r="U94" s="131" t="s">
        <v>794</v>
      </c>
      <c r="V94" s="131" t="s">
        <v>794</v>
      </c>
      <c r="W94" s="131" t="s">
        <v>794</v>
      </c>
      <c r="X94" s="131" t="s">
        <v>794</v>
      </c>
      <c r="Y94" s="131" t="s">
        <v>794</v>
      </c>
      <c r="Z94" s="159" t="s">
        <v>794</v>
      </c>
    </row>
    <row r="95" spans="1:26" x14ac:dyDescent="0.2">
      <c r="A95" s="129" t="s">
        <v>20</v>
      </c>
      <c r="B95" s="129">
        <v>4669</v>
      </c>
      <c r="C95" s="129" t="s">
        <v>802</v>
      </c>
      <c r="D95" s="130" t="s">
        <v>777</v>
      </c>
      <c r="E95" s="131">
        <v>3334</v>
      </c>
      <c r="F95" s="131">
        <v>3343</v>
      </c>
      <c r="G95" s="131">
        <v>3359</v>
      </c>
      <c r="H95" s="131">
        <v>3446</v>
      </c>
      <c r="I95" s="131">
        <v>0</v>
      </c>
      <c r="J95" s="131">
        <v>3443</v>
      </c>
      <c r="K95" s="131">
        <v>3462</v>
      </c>
      <c r="L95" s="131">
        <v>3428</v>
      </c>
      <c r="M95" s="131">
        <v>3416</v>
      </c>
      <c r="N95" s="131">
        <v>3413</v>
      </c>
      <c r="O95" s="131">
        <v>3414</v>
      </c>
      <c r="P95" s="131">
        <v>3404</v>
      </c>
      <c r="Q95" s="131">
        <v>3404</v>
      </c>
      <c r="R95" s="131">
        <v>3374</v>
      </c>
      <c r="S95" s="131">
        <v>3510</v>
      </c>
      <c r="T95" s="131">
        <v>3510</v>
      </c>
      <c r="U95" s="131">
        <v>3793</v>
      </c>
      <c r="V95" s="131">
        <v>3069</v>
      </c>
      <c r="W95" s="131">
        <v>3419</v>
      </c>
      <c r="X95" s="131">
        <v>3372</v>
      </c>
      <c r="Y95" s="131">
        <v>3469</v>
      </c>
      <c r="Z95" s="159">
        <v>3422</v>
      </c>
    </row>
    <row r="96" spans="1:26" x14ac:dyDescent="0.2">
      <c r="A96" s="129" t="s">
        <v>20</v>
      </c>
      <c r="B96" s="129">
        <v>4734</v>
      </c>
      <c r="C96" s="129" t="s">
        <v>3</v>
      </c>
      <c r="D96" s="130" t="s">
        <v>777</v>
      </c>
      <c r="E96" s="131">
        <v>13854</v>
      </c>
      <c r="F96" s="131">
        <v>14065</v>
      </c>
      <c r="G96" s="131">
        <v>14065</v>
      </c>
      <c r="H96" s="131">
        <v>14030</v>
      </c>
      <c r="I96" s="131">
        <v>14297</v>
      </c>
      <c r="J96" s="131">
        <v>14438</v>
      </c>
      <c r="K96" s="131">
        <v>14631</v>
      </c>
      <c r="L96" s="131">
        <v>14040</v>
      </c>
      <c r="M96" s="131">
        <v>13898</v>
      </c>
      <c r="N96" s="131">
        <v>14822</v>
      </c>
      <c r="O96" s="131">
        <v>14366</v>
      </c>
      <c r="P96" s="131">
        <v>14256</v>
      </c>
      <c r="Q96" s="131">
        <v>14413</v>
      </c>
      <c r="R96" s="131">
        <v>14393</v>
      </c>
      <c r="S96" s="131">
        <v>14716</v>
      </c>
      <c r="T96" s="131">
        <v>15073</v>
      </c>
      <c r="U96" s="131">
        <v>15802</v>
      </c>
      <c r="V96" s="131">
        <v>15770</v>
      </c>
      <c r="W96" s="131">
        <v>15865</v>
      </c>
      <c r="X96" s="131">
        <v>15985</v>
      </c>
      <c r="Y96" s="131">
        <v>14756</v>
      </c>
      <c r="Z96" s="159">
        <v>15020</v>
      </c>
    </row>
    <row r="97" spans="1:26" x14ac:dyDescent="0.2">
      <c r="A97" s="132" t="s">
        <v>20</v>
      </c>
      <c r="B97" s="132">
        <v>6040</v>
      </c>
      <c r="C97" s="132" t="s">
        <v>95</v>
      </c>
      <c r="D97" s="133" t="s">
        <v>777</v>
      </c>
      <c r="E97" s="134">
        <v>13790</v>
      </c>
      <c r="F97" s="134">
        <v>14243</v>
      </c>
      <c r="G97" s="134">
        <v>14801</v>
      </c>
      <c r="H97" s="134">
        <v>15037</v>
      </c>
      <c r="I97" s="134">
        <v>0</v>
      </c>
      <c r="J97" s="134">
        <v>16058</v>
      </c>
      <c r="K97" s="134">
        <v>16405</v>
      </c>
      <c r="L97" s="134">
        <v>16485</v>
      </c>
      <c r="M97" s="134">
        <v>16559</v>
      </c>
      <c r="N97" s="134">
        <v>10982</v>
      </c>
      <c r="O97" s="134">
        <v>10042</v>
      </c>
      <c r="P97" s="134">
        <v>10899</v>
      </c>
      <c r="Q97" s="134">
        <v>11070</v>
      </c>
      <c r="R97" s="131">
        <v>10562</v>
      </c>
      <c r="S97" s="131">
        <v>12901</v>
      </c>
      <c r="T97" s="131">
        <v>13239</v>
      </c>
      <c r="U97" s="131">
        <v>13304</v>
      </c>
      <c r="V97" s="131">
        <v>13199</v>
      </c>
      <c r="W97" s="131">
        <v>13346</v>
      </c>
      <c r="X97" s="131">
        <v>13394</v>
      </c>
      <c r="Y97" s="131">
        <v>13768</v>
      </c>
      <c r="Z97" s="159">
        <v>14062</v>
      </c>
    </row>
    <row r="98" spans="1:26" x14ac:dyDescent="0.2">
      <c r="A98" s="129" t="s">
        <v>20</v>
      </c>
      <c r="B98" s="129">
        <v>7299</v>
      </c>
      <c r="C98" s="129" t="s">
        <v>803</v>
      </c>
      <c r="D98" s="130" t="s">
        <v>777</v>
      </c>
      <c r="E98" s="131">
        <v>0</v>
      </c>
      <c r="F98" s="131">
        <v>0</v>
      </c>
      <c r="G98" s="131">
        <v>0</v>
      </c>
      <c r="H98" s="131">
        <v>0</v>
      </c>
      <c r="I98" s="131">
        <v>0</v>
      </c>
      <c r="J98" s="131">
        <v>0</v>
      </c>
      <c r="K98" s="131">
        <v>0</v>
      </c>
      <c r="L98" s="131">
        <v>0</v>
      </c>
      <c r="M98" s="131">
        <v>0</v>
      </c>
      <c r="N98" s="131">
        <v>0</v>
      </c>
      <c r="O98" s="131">
        <v>0</v>
      </c>
      <c r="P98" s="131">
        <v>443</v>
      </c>
      <c r="Q98" s="131">
        <v>445</v>
      </c>
      <c r="R98" s="131">
        <v>0</v>
      </c>
      <c r="S98" s="131">
        <v>0</v>
      </c>
      <c r="T98" s="131"/>
      <c r="U98" s="131" t="s">
        <v>794</v>
      </c>
      <c r="V98" s="131" t="s">
        <v>794</v>
      </c>
      <c r="W98" s="131" t="s">
        <v>794</v>
      </c>
      <c r="X98" s="131" t="s">
        <v>794</v>
      </c>
      <c r="Y98" s="131" t="s">
        <v>794</v>
      </c>
      <c r="Z98" s="159" t="s">
        <v>794</v>
      </c>
    </row>
    <row r="99" spans="1:26" x14ac:dyDescent="0.2">
      <c r="A99" s="129" t="s">
        <v>20</v>
      </c>
      <c r="B99" s="129">
        <v>7999</v>
      </c>
      <c r="C99" s="129" t="s">
        <v>483</v>
      </c>
      <c r="D99" s="130" t="s">
        <v>777</v>
      </c>
      <c r="E99" s="131">
        <v>0</v>
      </c>
      <c r="F99" s="131">
        <v>0</v>
      </c>
      <c r="G99" s="131">
        <v>648</v>
      </c>
      <c r="H99" s="131">
        <v>0</v>
      </c>
      <c r="I99" s="131">
        <v>0</v>
      </c>
      <c r="J99" s="131">
        <v>672</v>
      </c>
      <c r="K99" s="131">
        <v>672</v>
      </c>
      <c r="L99" s="131">
        <v>0</v>
      </c>
      <c r="M99" s="131">
        <v>698</v>
      </c>
      <c r="N99" s="131">
        <v>702</v>
      </c>
      <c r="O99" s="131">
        <v>698</v>
      </c>
      <c r="P99" s="131">
        <v>700</v>
      </c>
      <c r="Q99" s="131">
        <v>704</v>
      </c>
      <c r="R99" s="131">
        <v>704</v>
      </c>
      <c r="S99" s="131">
        <v>714</v>
      </c>
      <c r="T99" s="131">
        <v>714</v>
      </c>
      <c r="U99" s="131">
        <v>720</v>
      </c>
      <c r="V99" s="131">
        <v>721</v>
      </c>
      <c r="W99" s="131">
        <v>728</v>
      </c>
      <c r="X99" s="131">
        <v>727</v>
      </c>
      <c r="Y99" s="131">
        <v>734</v>
      </c>
      <c r="Z99" s="159">
        <v>738</v>
      </c>
    </row>
    <row r="100" spans="1:26" x14ac:dyDescent="0.2">
      <c r="A100" s="129" t="s">
        <v>20</v>
      </c>
      <c r="B100" s="129">
        <v>8417</v>
      </c>
      <c r="C100" s="129" t="s">
        <v>483</v>
      </c>
      <c r="D100" s="130" t="s">
        <v>777</v>
      </c>
      <c r="E100" s="131">
        <v>3347.9999999999995</v>
      </c>
      <c r="F100" s="131">
        <v>3065</v>
      </c>
      <c r="G100" s="131">
        <v>3065</v>
      </c>
      <c r="H100" s="131">
        <v>3303</v>
      </c>
      <c r="I100" s="131">
        <v>3321</v>
      </c>
      <c r="J100" s="131">
        <v>3316</v>
      </c>
      <c r="K100" s="131">
        <v>3294</v>
      </c>
      <c r="L100" s="131">
        <v>3251</v>
      </c>
      <c r="M100" s="131">
        <v>3261</v>
      </c>
      <c r="N100" s="131">
        <v>3212</v>
      </c>
      <c r="O100" s="131">
        <v>3187</v>
      </c>
      <c r="P100" s="131">
        <v>3173</v>
      </c>
      <c r="Q100" s="131">
        <v>3274</v>
      </c>
      <c r="R100" s="131">
        <v>3058</v>
      </c>
      <c r="S100" s="131">
        <v>3306</v>
      </c>
      <c r="T100" s="131">
        <v>3323</v>
      </c>
      <c r="U100" s="131">
        <v>3331</v>
      </c>
      <c r="V100" s="131">
        <v>3331</v>
      </c>
      <c r="W100" s="131">
        <v>3368</v>
      </c>
      <c r="X100" s="131">
        <v>3369</v>
      </c>
      <c r="Y100" s="131">
        <v>3373</v>
      </c>
      <c r="Z100" s="159">
        <v>3376</v>
      </c>
    </row>
    <row r="101" spans="1:26" x14ac:dyDescent="0.2">
      <c r="A101" s="129" t="s">
        <v>20</v>
      </c>
      <c r="B101" s="129">
        <v>11863</v>
      </c>
      <c r="C101" s="129" t="s">
        <v>804</v>
      </c>
      <c r="D101" s="130" t="s">
        <v>777</v>
      </c>
      <c r="E101" s="131">
        <v>42000</v>
      </c>
      <c r="F101" s="131">
        <v>57554</v>
      </c>
      <c r="G101" s="131">
        <v>58451</v>
      </c>
      <c r="H101" s="131">
        <v>63649</v>
      </c>
      <c r="I101" s="131">
        <v>0</v>
      </c>
      <c r="J101" s="131">
        <v>80247</v>
      </c>
      <c r="K101" s="131">
        <v>86319</v>
      </c>
      <c r="L101" s="131">
        <v>92134</v>
      </c>
      <c r="M101" s="131">
        <v>90598</v>
      </c>
      <c r="N101" s="131">
        <v>85531</v>
      </c>
      <c r="O101" s="131">
        <v>95575</v>
      </c>
      <c r="P101" s="131">
        <v>95566</v>
      </c>
      <c r="Q101" s="131">
        <v>88652</v>
      </c>
      <c r="R101" s="131">
        <v>89337</v>
      </c>
      <c r="S101" s="131">
        <v>101229</v>
      </c>
      <c r="T101" s="131">
        <v>113037</v>
      </c>
      <c r="U101" s="131">
        <v>112952</v>
      </c>
      <c r="V101" s="131">
        <v>115540</v>
      </c>
      <c r="W101" s="131">
        <v>118275</v>
      </c>
      <c r="X101" s="131">
        <v>121188</v>
      </c>
      <c r="Y101" s="131">
        <v>126749</v>
      </c>
      <c r="Z101" s="159">
        <v>135190</v>
      </c>
    </row>
    <row r="102" spans="1:26" x14ac:dyDescent="0.2">
      <c r="A102" s="129" t="s">
        <v>21</v>
      </c>
      <c r="B102" s="129">
        <v>742</v>
      </c>
      <c r="C102" s="129" t="s">
        <v>87</v>
      </c>
      <c r="D102" s="130" t="s">
        <v>777</v>
      </c>
      <c r="E102" s="131">
        <v>0</v>
      </c>
      <c r="F102" s="131">
        <v>0</v>
      </c>
      <c r="G102" s="131">
        <v>11780</v>
      </c>
      <c r="H102" s="131">
        <v>10630</v>
      </c>
      <c r="I102" s="131">
        <v>12954</v>
      </c>
      <c r="J102" s="131">
        <v>13662</v>
      </c>
      <c r="K102" s="131">
        <v>13662</v>
      </c>
      <c r="L102" s="131">
        <v>12964</v>
      </c>
      <c r="M102" s="131">
        <v>13267</v>
      </c>
      <c r="N102" s="131">
        <v>13063</v>
      </c>
      <c r="O102" s="131">
        <v>13339</v>
      </c>
      <c r="P102" s="131">
        <v>13360</v>
      </c>
      <c r="Q102" s="131">
        <v>13372</v>
      </c>
      <c r="R102" s="131">
        <v>13388</v>
      </c>
      <c r="S102" s="131">
        <v>13417</v>
      </c>
      <c r="T102" s="131">
        <v>13428</v>
      </c>
      <c r="U102" s="131">
        <v>14561</v>
      </c>
      <c r="V102" s="131">
        <v>13343</v>
      </c>
      <c r="W102" s="131">
        <v>11885</v>
      </c>
      <c r="X102" s="131">
        <v>12417</v>
      </c>
      <c r="Y102" s="131">
        <v>12393</v>
      </c>
      <c r="Z102" s="159">
        <v>12516</v>
      </c>
    </row>
    <row r="103" spans="1:26" x14ac:dyDescent="0.2">
      <c r="A103" s="129" t="s">
        <v>21</v>
      </c>
      <c r="B103" s="129">
        <v>2980</v>
      </c>
      <c r="C103" s="129" t="s">
        <v>67</v>
      </c>
      <c r="D103" s="130" t="s">
        <v>777</v>
      </c>
      <c r="E103" s="131">
        <v>20472</v>
      </c>
      <c r="F103" s="131">
        <v>21054</v>
      </c>
      <c r="G103" s="131">
        <v>20729</v>
      </c>
      <c r="H103" s="131">
        <v>19904</v>
      </c>
      <c r="I103" s="131">
        <v>21099</v>
      </c>
      <c r="J103" s="131">
        <v>20929</v>
      </c>
      <c r="K103" s="131">
        <v>19094</v>
      </c>
      <c r="L103" s="131">
        <v>19686</v>
      </c>
      <c r="M103" s="131">
        <v>20130</v>
      </c>
      <c r="N103" s="131">
        <v>19839</v>
      </c>
      <c r="O103" s="131">
        <v>20243</v>
      </c>
      <c r="P103" s="131">
        <v>20421</v>
      </c>
      <c r="Q103" s="131">
        <v>21035</v>
      </c>
      <c r="R103" s="131">
        <v>21251</v>
      </c>
      <c r="S103" s="131">
        <v>21377</v>
      </c>
      <c r="T103" s="131">
        <v>21426</v>
      </c>
      <c r="U103" s="131">
        <v>21773</v>
      </c>
      <c r="V103" s="131">
        <v>22140</v>
      </c>
      <c r="W103" s="131">
        <v>22612</v>
      </c>
      <c r="X103" s="131">
        <v>22677</v>
      </c>
      <c r="Y103" s="131">
        <v>22843</v>
      </c>
      <c r="Z103" s="159">
        <v>22797</v>
      </c>
    </row>
    <row r="104" spans="1:26" x14ac:dyDescent="0.2">
      <c r="A104" s="129" t="s">
        <v>21</v>
      </c>
      <c r="B104" s="129">
        <v>2981</v>
      </c>
      <c r="C104" s="129" t="s">
        <v>805</v>
      </c>
      <c r="D104" s="130" t="s">
        <v>777</v>
      </c>
      <c r="E104" s="131">
        <v>55410</v>
      </c>
      <c r="F104" s="131">
        <v>55822</v>
      </c>
      <c r="G104" s="131">
        <v>56423</v>
      </c>
      <c r="H104" s="131">
        <v>63359</v>
      </c>
      <c r="I104" s="131">
        <v>63547</v>
      </c>
      <c r="J104" s="131">
        <v>63664</v>
      </c>
      <c r="K104" s="131">
        <v>56394</v>
      </c>
      <c r="L104" s="131">
        <v>61083</v>
      </c>
      <c r="M104" s="131">
        <v>56541</v>
      </c>
      <c r="N104" s="131">
        <v>56462</v>
      </c>
      <c r="O104" s="131">
        <v>52517</v>
      </c>
      <c r="P104" s="131">
        <v>56407</v>
      </c>
      <c r="Q104" s="131">
        <v>56235</v>
      </c>
      <c r="R104" s="131">
        <v>56400</v>
      </c>
      <c r="S104" s="131">
        <v>56560</v>
      </c>
      <c r="T104" s="131">
        <v>58786</v>
      </c>
      <c r="U104" s="131">
        <v>59718</v>
      </c>
      <c r="V104" s="131">
        <v>60016</v>
      </c>
      <c r="W104" s="131">
        <v>60951</v>
      </c>
      <c r="X104" s="131">
        <v>60740</v>
      </c>
      <c r="Y104" s="131">
        <v>61106</v>
      </c>
      <c r="Z104" s="159">
        <v>61403</v>
      </c>
    </row>
    <row r="105" spans="1:26" x14ac:dyDescent="0.2">
      <c r="A105" s="129" t="s">
        <v>21</v>
      </c>
      <c r="B105" s="129">
        <v>7692</v>
      </c>
      <c r="C105" s="129" t="s">
        <v>165</v>
      </c>
      <c r="D105" s="130" t="s">
        <v>777</v>
      </c>
      <c r="E105" s="131">
        <v>2422</v>
      </c>
      <c r="F105" s="131">
        <v>2422</v>
      </c>
      <c r="G105" s="131">
        <v>2422</v>
      </c>
      <c r="H105" s="131">
        <v>2422</v>
      </c>
      <c r="I105" s="131">
        <v>2422</v>
      </c>
      <c r="J105" s="131">
        <v>2422</v>
      </c>
      <c r="K105" s="131">
        <v>2422</v>
      </c>
      <c r="L105" s="131">
        <v>1478</v>
      </c>
      <c r="M105" s="131">
        <v>2267</v>
      </c>
      <c r="N105" s="131">
        <v>2267</v>
      </c>
      <c r="O105" s="131">
        <v>2267</v>
      </c>
      <c r="P105" s="131">
        <v>2944</v>
      </c>
      <c r="Q105" s="131">
        <v>1944</v>
      </c>
      <c r="R105" s="131">
        <v>2464</v>
      </c>
      <c r="S105" s="131">
        <v>2420</v>
      </c>
      <c r="T105" s="131">
        <v>2464</v>
      </c>
      <c r="U105" s="131">
        <v>2489</v>
      </c>
      <c r="V105" s="131">
        <v>2489</v>
      </c>
      <c r="W105" s="131">
        <v>2563</v>
      </c>
      <c r="X105" s="131">
        <v>2693</v>
      </c>
      <c r="Y105" s="131">
        <v>2693</v>
      </c>
      <c r="Z105" s="159">
        <v>2704</v>
      </c>
    </row>
    <row r="106" spans="1:26" x14ac:dyDescent="0.2">
      <c r="A106" s="129" t="s">
        <v>21</v>
      </c>
      <c r="B106" s="129">
        <v>10350</v>
      </c>
      <c r="C106" s="129" t="s">
        <v>792</v>
      </c>
      <c r="D106" s="130" t="s">
        <v>777</v>
      </c>
      <c r="E106" s="131">
        <v>0</v>
      </c>
      <c r="F106" s="131">
        <v>0</v>
      </c>
      <c r="G106" s="131">
        <v>0</v>
      </c>
      <c r="H106" s="131">
        <v>0</v>
      </c>
      <c r="I106" s="131">
        <v>0</v>
      </c>
      <c r="J106" s="131">
        <v>0</v>
      </c>
      <c r="K106" s="131">
        <v>514</v>
      </c>
      <c r="L106" s="131">
        <v>514</v>
      </c>
      <c r="M106" s="131">
        <v>514</v>
      </c>
      <c r="N106" s="131">
        <v>1048</v>
      </c>
      <c r="O106" s="131">
        <v>1048</v>
      </c>
      <c r="P106" s="131">
        <v>507</v>
      </c>
      <c r="Q106" s="131">
        <v>514</v>
      </c>
      <c r="R106" s="131">
        <v>514</v>
      </c>
      <c r="S106" s="131">
        <v>502</v>
      </c>
      <c r="T106" s="131">
        <v>834</v>
      </c>
      <c r="U106" s="131">
        <v>0</v>
      </c>
      <c r="V106" s="131" t="s">
        <v>794</v>
      </c>
      <c r="W106" s="131" t="s">
        <v>794</v>
      </c>
      <c r="X106" s="131" t="s">
        <v>794</v>
      </c>
      <c r="Y106" s="131" t="s">
        <v>794</v>
      </c>
      <c r="Z106" s="159" t="s">
        <v>794</v>
      </c>
    </row>
    <row r="107" spans="1:26" x14ac:dyDescent="0.2">
      <c r="A107" s="129" t="s">
        <v>21</v>
      </c>
      <c r="B107" s="129">
        <v>10795</v>
      </c>
      <c r="C107" s="129" t="s">
        <v>30</v>
      </c>
      <c r="D107" s="130" t="s">
        <v>777</v>
      </c>
      <c r="E107" s="131">
        <v>0</v>
      </c>
      <c r="F107" s="131">
        <v>0</v>
      </c>
      <c r="G107" s="131">
        <v>0</v>
      </c>
      <c r="H107" s="131">
        <v>7775</v>
      </c>
      <c r="I107" s="131">
        <v>7830</v>
      </c>
      <c r="J107" s="131">
        <v>7863</v>
      </c>
      <c r="K107" s="131">
        <v>7901</v>
      </c>
      <c r="L107" s="131">
        <v>10320.093856933356</v>
      </c>
      <c r="M107" s="131">
        <v>7598</v>
      </c>
      <c r="N107" s="131">
        <v>7658</v>
      </c>
      <c r="O107" s="131">
        <v>7584</v>
      </c>
      <c r="P107" s="131">
        <v>7562</v>
      </c>
      <c r="Q107" s="131">
        <v>7556</v>
      </c>
      <c r="R107" s="131">
        <v>7564</v>
      </c>
      <c r="S107" s="131">
        <v>7602</v>
      </c>
      <c r="T107" s="131">
        <v>7609</v>
      </c>
      <c r="U107" s="131">
        <v>7599</v>
      </c>
      <c r="V107" s="131">
        <v>7637</v>
      </c>
      <c r="W107" s="131">
        <v>7650</v>
      </c>
      <c r="X107" s="131">
        <v>7747</v>
      </c>
      <c r="Y107" s="131">
        <v>7881</v>
      </c>
      <c r="Z107" s="159">
        <v>7739</v>
      </c>
    </row>
    <row r="108" spans="1:26" x14ac:dyDescent="0.2">
      <c r="A108" s="129" t="s">
        <v>21</v>
      </c>
      <c r="B108" s="129">
        <v>11218</v>
      </c>
      <c r="C108" s="129" t="s">
        <v>31</v>
      </c>
      <c r="D108" s="130" t="s">
        <v>777</v>
      </c>
      <c r="E108" s="131">
        <v>5735</v>
      </c>
      <c r="F108" s="131">
        <v>5832</v>
      </c>
      <c r="G108" s="131">
        <v>5954</v>
      </c>
      <c r="H108" s="131">
        <v>6054</v>
      </c>
      <c r="I108" s="131">
        <v>6127</v>
      </c>
      <c r="J108" s="131">
        <v>6193</v>
      </c>
      <c r="K108" s="131">
        <v>6137</v>
      </c>
      <c r="L108" s="131">
        <v>6065</v>
      </c>
      <c r="M108" s="131">
        <v>6065</v>
      </c>
      <c r="N108" s="131">
        <v>6092</v>
      </c>
      <c r="O108" s="131">
        <v>6086</v>
      </c>
      <c r="P108" s="131">
        <v>6121</v>
      </c>
      <c r="Q108" s="131">
        <v>6129</v>
      </c>
      <c r="R108" s="131">
        <v>6127</v>
      </c>
      <c r="S108" s="131">
        <v>6153</v>
      </c>
      <c r="T108" s="131">
        <v>6285</v>
      </c>
      <c r="U108" s="131">
        <v>6340</v>
      </c>
      <c r="V108" s="131">
        <v>6354</v>
      </c>
      <c r="W108" s="131">
        <v>6429</v>
      </c>
      <c r="X108" s="131">
        <v>6445</v>
      </c>
      <c r="Y108" s="131">
        <v>6452</v>
      </c>
      <c r="Z108" s="159">
        <v>6586</v>
      </c>
    </row>
    <row r="109" spans="1:26" x14ac:dyDescent="0.2">
      <c r="A109" s="129" t="s">
        <v>21</v>
      </c>
      <c r="B109" s="129">
        <v>11245</v>
      </c>
      <c r="C109" s="129" t="s">
        <v>82</v>
      </c>
      <c r="D109" s="130" t="s">
        <v>777</v>
      </c>
      <c r="E109" s="131">
        <v>7210</v>
      </c>
      <c r="F109" s="131">
        <v>0</v>
      </c>
      <c r="G109" s="131">
        <v>7289</v>
      </c>
      <c r="H109" s="131">
        <v>7187</v>
      </c>
      <c r="I109" s="131">
        <v>0</v>
      </c>
      <c r="J109" s="131">
        <v>0</v>
      </c>
      <c r="K109" s="131">
        <v>7157</v>
      </c>
      <c r="L109" s="131">
        <v>0</v>
      </c>
      <c r="M109" s="131">
        <v>0</v>
      </c>
      <c r="N109" s="131">
        <v>0</v>
      </c>
      <c r="O109" s="131">
        <v>0</v>
      </c>
      <c r="P109" s="131">
        <v>7157</v>
      </c>
      <c r="Q109" s="131">
        <v>7511</v>
      </c>
      <c r="R109" s="131">
        <v>7055</v>
      </c>
      <c r="S109" s="131">
        <v>7241</v>
      </c>
      <c r="T109" s="131">
        <v>34509</v>
      </c>
      <c r="U109" s="131">
        <v>0</v>
      </c>
      <c r="V109" s="131">
        <v>6655</v>
      </c>
      <c r="W109" s="131">
        <v>6535</v>
      </c>
      <c r="X109" s="131">
        <v>6535</v>
      </c>
      <c r="Y109" s="131">
        <v>6504</v>
      </c>
      <c r="Z109" s="159">
        <v>6835</v>
      </c>
    </row>
    <row r="110" spans="1:26" x14ac:dyDescent="0.2">
      <c r="A110" s="129" t="s">
        <v>21</v>
      </c>
      <c r="B110" s="129">
        <v>12351</v>
      </c>
      <c r="C110" s="129" t="s">
        <v>32</v>
      </c>
      <c r="D110" s="130" t="s">
        <v>777</v>
      </c>
      <c r="E110" s="131">
        <v>28684</v>
      </c>
      <c r="F110" s="131">
        <v>28794</v>
      </c>
      <c r="G110" s="131">
        <v>28904</v>
      </c>
      <c r="H110" s="131">
        <v>28522</v>
      </c>
      <c r="I110" s="131">
        <v>28832</v>
      </c>
      <c r="J110" s="131">
        <v>30250</v>
      </c>
      <c r="K110" s="131">
        <v>29936</v>
      </c>
      <c r="L110" s="131">
        <v>30319</v>
      </c>
      <c r="M110" s="131">
        <v>31286</v>
      </c>
      <c r="N110" s="131">
        <v>31494</v>
      </c>
      <c r="O110" s="131">
        <v>31533</v>
      </c>
      <c r="P110" s="131">
        <v>33586</v>
      </c>
      <c r="Q110" s="131">
        <v>33558</v>
      </c>
      <c r="R110" s="131">
        <v>33956</v>
      </c>
      <c r="S110" s="131">
        <v>0</v>
      </c>
      <c r="T110" s="131">
        <v>6620</v>
      </c>
      <c r="U110" s="131">
        <v>34620</v>
      </c>
      <c r="V110" s="131">
        <v>36531</v>
      </c>
      <c r="W110" s="131">
        <v>37200</v>
      </c>
      <c r="X110" s="131">
        <v>28227</v>
      </c>
      <c r="Y110" s="131">
        <v>26208</v>
      </c>
      <c r="Z110" s="159">
        <v>26870</v>
      </c>
    </row>
    <row r="111" spans="1:26" x14ac:dyDescent="0.2">
      <c r="A111" s="129" t="s">
        <v>21</v>
      </c>
      <c r="B111" s="129">
        <v>20142</v>
      </c>
      <c r="C111" s="129" t="s">
        <v>806</v>
      </c>
      <c r="D111" s="130" t="s">
        <v>777</v>
      </c>
      <c r="E111" s="131">
        <v>0</v>
      </c>
      <c r="F111" s="131">
        <v>0</v>
      </c>
      <c r="G111" s="131">
        <v>0</v>
      </c>
      <c r="H111" s="131">
        <v>201539</v>
      </c>
      <c r="I111" s="131">
        <v>202332</v>
      </c>
      <c r="J111" s="131">
        <v>202618</v>
      </c>
      <c r="K111" s="131">
        <v>203008</v>
      </c>
      <c r="L111" s="131">
        <v>203465</v>
      </c>
      <c r="M111" s="131">
        <v>203262</v>
      </c>
      <c r="N111" s="131">
        <v>214130</v>
      </c>
      <c r="O111" s="131">
        <v>216894</v>
      </c>
      <c r="P111" s="131">
        <v>218461</v>
      </c>
      <c r="Q111" s="131">
        <v>220058</v>
      </c>
      <c r="R111" s="131">
        <v>221809</v>
      </c>
      <c r="S111" s="131">
        <v>224458</v>
      </c>
      <c r="T111" s="131">
        <v>224378</v>
      </c>
      <c r="U111" s="131">
        <v>227025</v>
      </c>
      <c r="V111" s="131">
        <v>227713</v>
      </c>
      <c r="W111" s="131">
        <v>229084</v>
      </c>
      <c r="X111" s="131">
        <v>228540</v>
      </c>
      <c r="Y111" s="131">
        <v>228919</v>
      </c>
      <c r="Z111" s="159">
        <v>235642</v>
      </c>
    </row>
    <row r="112" spans="1:26" x14ac:dyDescent="0.2">
      <c r="A112" s="129" t="s">
        <v>21</v>
      </c>
      <c r="B112" s="129">
        <v>20143</v>
      </c>
      <c r="C112" s="129" t="s">
        <v>9</v>
      </c>
      <c r="D112" s="130" t="s">
        <v>777</v>
      </c>
      <c r="E112" s="131">
        <v>124696</v>
      </c>
      <c r="F112" s="131">
        <v>124757</v>
      </c>
      <c r="G112" s="131">
        <v>124733</v>
      </c>
      <c r="H112" s="131">
        <v>124425</v>
      </c>
      <c r="I112" s="131">
        <v>125371</v>
      </c>
      <c r="J112" s="131">
        <v>125824</v>
      </c>
      <c r="K112" s="131">
        <v>126036.14309974763</v>
      </c>
      <c r="L112" s="131">
        <v>126059.35851855346</v>
      </c>
      <c r="M112" s="131">
        <v>125705.46048069438</v>
      </c>
      <c r="N112" s="131">
        <v>125735.07384956483</v>
      </c>
      <c r="O112" s="131">
        <v>123710.43395507746</v>
      </c>
      <c r="P112" s="131">
        <v>121736</v>
      </c>
      <c r="Q112" s="131">
        <v>153722</v>
      </c>
      <c r="R112" s="131">
        <v>153722</v>
      </c>
      <c r="S112" s="131">
        <v>153722</v>
      </c>
      <c r="T112" s="131">
        <v>153286</v>
      </c>
      <c r="U112" s="131">
        <v>154780</v>
      </c>
      <c r="V112" s="131">
        <v>155963</v>
      </c>
      <c r="W112" s="131">
        <v>155268</v>
      </c>
      <c r="X112" s="131">
        <v>157637</v>
      </c>
      <c r="Y112" s="131">
        <v>158243</v>
      </c>
      <c r="Z112" s="159">
        <v>158276</v>
      </c>
    </row>
    <row r="113" spans="1:26" x14ac:dyDescent="0.2">
      <c r="A113" s="132" t="s">
        <v>22</v>
      </c>
      <c r="B113" s="132">
        <v>341</v>
      </c>
      <c r="C113" s="132" t="s">
        <v>55</v>
      </c>
      <c r="D113" s="133" t="s">
        <v>768</v>
      </c>
      <c r="E113" s="134">
        <v>6346</v>
      </c>
      <c r="F113" s="134">
        <v>6340</v>
      </c>
      <c r="G113" s="134">
        <v>6333</v>
      </c>
      <c r="H113" s="134">
        <v>6687</v>
      </c>
      <c r="I113" s="134">
        <v>6579</v>
      </c>
      <c r="J113" s="134">
        <v>6741</v>
      </c>
      <c r="K113" s="134">
        <v>6942</v>
      </c>
      <c r="L113" s="134">
        <v>7827</v>
      </c>
      <c r="M113" s="134">
        <v>7874</v>
      </c>
      <c r="N113" s="134">
        <v>7895</v>
      </c>
      <c r="O113" s="134">
        <v>7896</v>
      </c>
      <c r="P113" s="134">
        <v>7945</v>
      </c>
      <c r="Q113" s="134">
        <v>8016</v>
      </c>
      <c r="R113" s="131">
        <v>8144</v>
      </c>
      <c r="S113" s="131">
        <v>8327</v>
      </c>
      <c r="T113" s="131">
        <v>8518</v>
      </c>
      <c r="U113" s="131">
        <v>8695</v>
      </c>
      <c r="V113" s="131">
        <v>8824</v>
      </c>
      <c r="W113" s="131">
        <v>8921</v>
      </c>
      <c r="X113" s="131">
        <v>8926</v>
      </c>
      <c r="Y113" s="131">
        <v>9118</v>
      </c>
      <c r="Z113" s="159">
        <v>9385</v>
      </c>
    </row>
    <row r="114" spans="1:26" x14ac:dyDescent="0.2">
      <c r="A114" s="129" t="s">
        <v>22</v>
      </c>
      <c r="B114" s="129">
        <v>645</v>
      </c>
      <c r="C114" s="129" t="s">
        <v>70</v>
      </c>
      <c r="D114" s="130" t="s">
        <v>768</v>
      </c>
      <c r="E114" s="131">
        <v>0</v>
      </c>
      <c r="F114" s="131">
        <v>0</v>
      </c>
      <c r="G114" s="131">
        <v>0</v>
      </c>
      <c r="H114" s="131">
        <v>2180</v>
      </c>
      <c r="I114" s="131">
        <v>2185</v>
      </c>
      <c r="J114" s="131">
        <v>2200</v>
      </c>
      <c r="K114" s="131">
        <v>2202</v>
      </c>
      <c r="L114" s="131">
        <v>2306</v>
      </c>
      <c r="M114" s="131">
        <v>1986</v>
      </c>
      <c r="N114" s="131">
        <v>1969</v>
      </c>
      <c r="O114" s="131">
        <v>1947</v>
      </c>
      <c r="P114" s="131">
        <v>1921</v>
      </c>
      <c r="Q114" s="131">
        <v>2049</v>
      </c>
      <c r="R114" s="131">
        <v>2122</v>
      </c>
      <c r="S114" s="131">
        <v>2178</v>
      </c>
      <c r="T114" s="131">
        <v>2012</v>
      </c>
      <c r="U114" s="131">
        <v>2024</v>
      </c>
      <c r="V114" s="131">
        <v>2027</v>
      </c>
      <c r="W114" s="131">
        <v>2051</v>
      </c>
      <c r="X114" s="131">
        <v>2072</v>
      </c>
      <c r="Y114" s="131">
        <v>1931</v>
      </c>
      <c r="Z114" s="159">
        <v>2135</v>
      </c>
    </row>
    <row r="115" spans="1:26" x14ac:dyDescent="0.2">
      <c r="A115" s="129" t="s">
        <v>22</v>
      </c>
      <c r="B115" s="129">
        <v>1616</v>
      </c>
      <c r="C115" s="129" t="s">
        <v>807</v>
      </c>
      <c r="D115" s="130" t="s">
        <v>768</v>
      </c>
      <c r="E115" s="131">
        <v>594</v>
      </c>
      <c r="F115" s="131">
        <v>599</v>
      </c>
      <c r="G115" s="131">
        <v>600</v>
      </c>
      <c r="H115" s="131">
        <v>600</v>
      </c>
      <c r="I115" s="131">
        <v>600</v>
      </c>
      <c r="J115" s="131">
        <v>600</v>
      </c>
      <c r="K115" s="131">
        <v>607</v>
      </c>
      <c r="L115" s="131">
        <v>0</v>
      </c>
      <c r="M115" s="131">
        <v>607</v>
      </c>
      <c r="N115" s="131">
        <v>0</v>
      </c>
      <c r="O115" s="131">
        <v>0</v>
      </c>
      <c r="P115" s="131">
        <v>601</v>
      </c>
      <c r="Q115" s="131">
        <v>604</v>
      </c>
      <c r="R115" s="131">
        <v>601</v>
      </c>
      <c r="S115" s="131">
        <v>601</v>
      </c>
      <c r="T115" s="131">
        <v>601</v>
      </c>
      <c r="U115" s="131" t="s">
        <v>794</v>
      </c>
      <c r="V115" s="131" t="s">
        <v>794</v>
      </c>
      <c r="W115" s="131" t="s">
        <v>794</v>
      </c>
      <c r="X115" s="131" t="s">
        <v>794</v>
      </c>
      <c r="Y115" s="131" t="s">
        <v>794</v>
      </c>
      <c r="Z115" s="159" t="s">
        <v>794</v>
      </c>
    </row>
    <row r="116" spans="1:26" x14ac:dyDescent="0.2">
      <c r="A116" s="132" t="s">
        <v>22</v>
      </c>
      <c r="B116" s="132">
        <v>1625</v>
      </c>
      <c r="C116" s="132" t="s">
        <v>808</v>
      </c>
      <c r="D116" s="133" t="s">
        <v>768</v>
      </c>
      <c r="E116" s="134">
        <v>0</v>
      </c>
      <c r="F116" s="134">
        <v>0</v>
      </c>
      <c r="G116" s="134">
        <v>855</v>
      </c>
      <c r="H116" s="134">
        <v>0</v>
      </c>
      <c r="I116" s="134">
        <v>814</v>
      </c>
      <c r="J116" s="134">
        <v>0</v>
      </c>
      <c r="K116" s="134">
        <v>0</v>
      </c>
      <c r="L116" s="134">
        <v>0</v>
      </c>
      <c r="M116" s="134">
        <v>811</v>
      </c>
      <c r="N116" s="134">
        <v>814</v>
      </c>
      <c r="O116" s="134">
        <v>814</v>
      </c>
      <c r="P116" s="134">
        <v>814</v>
      </c>
      <c r="Q116" s="134">
        <v>814</v>
      </c>
      <c r="R116" s="131">
        <v>814</v>
      </c>
      <c r="S116" s="131">
        <v>814</v>
      </c>
      <c r="T116" s="131">
        <v>814</v>
      </c>
      <c r="U116" s="131">
        <v>814</v>
      </c>
      <c r="V116" s="131">
        <v>814</v>
      </c>
      <c r="W116" s="131">
        <v>814</v>
      </c>
      <c r="X116" s="131">
        <v>814</v>
      </c>
      <c r="Y116" s="131">
        <v>814</v>
      </c>
      <c r="Z116" s="159">
        <v>814</v>
      </c>
    </row>
    <row r="117" spans="1:26" x14ac:dyDescent="0.2">
      <c r="A117" s="129" t="s">
        <v>22</v>
      </c>
      <c r="B117" s="129">
        <v>2332</v>
      </c>
      <c r="C117" s="129" t="s">
        <v>168</v>
      </c>
      <c r="D117" s="130" t="s">
        <v>768</v>
      </c>
      <c r="E117" s="131">
        <v>672</v>
      </c>
      <c r="F117" s="131">
        <v>677</v>
      </c>
      <c r="G117" s="131">
        <v>692</v>
      </c>
      <c r="H117" s="131">
        <v>623</v>
      </c>
      <c r="I117" s="131">
        <v>572</v>
      </c>
      <c r="J117" s="131">
        <v>521</v>
      </c>
      <c r="K117" s="131">
        <v>702</v>
      </c>
      <c r="L117" s="131">
        <v>706</v>
      </c>
      <c r="M117" s="131">
        <v>653</v>
      </c>
      <c r="N117" s="131">
        <v>717</v>
      </c>
      <c r="O117" s="131">
        <v>714</v>
      </c>
      <c r="P117" s="131">
        <v>716</v>
      </c>
      <c r="Q117" s="131">
        <v>716</v>
      </c>
      <c r="R117" s="131">
        <v>714</v>
      </c>
      <c r="S117" s="131">
        <v>725</v>
      </c>
      <c r="T117" s="131">
        <v>725</v>
      </c>
      <c r="U117" s="131">
        <v>730</v>
      </c>
      <c r="V117" s="131">
        <v>760</v>
      </c>
      <c r="W117" s="131">
        <v>706</v>
      </c>
      <c r="X117" s="131">
        <v>822</v>
      </c>
      <c r="Y117" s="131">
        <v>778</v>
      </c>
      <c r="Z117" s="159">
        <v>817</v>
      </c>
    </row>
    <row r="118" spans="1:26" x14ac:dyDescent="0.2">
      <c r="A118" s="129" t="s">
        <v>22</v>
      </c>
      <c r="B118" s="129">
        <v>3415</v>
      </c>
      <c r="C118" s="129" t="s">
        <v>809</v>
      </c>
      <c r="D118" s="130" t="s">
        <v>768</v>
      </c>
      <c r="E118" s="131">
        <v>0</v>
      </c>
      <c r="F118" s="131">
        <v>0</v>
      </c>
      <c r="G118" s="131">
        <v>0</v>
      </c>
      <c r="H118" s="131">
        <v>0</v>
      </c>
      <c r="I118" s="131">
        <v>0</v>
      </c>
      <c r="J118" s="131">
        <v>0</v>
      </c>
      <c r="K118" s="131">
        <v>566</v>
      </c>
      <c r="L118" s="131">
        <v>0</v>
      </c>
      <c r="M118" s="131">
        <v>581</v>
      </c>
      <c r="N118" s="131">
        <v>566</v>
      </c>
      <c r="O118" s="131">
        <v>566</v>
      </c>
      <c r="P118" s="131">
        <v>496</v>
      </c>
      <c r="Q118" s="131">
        <v>496</v>
      </c>
      <c r="R118" s="131">
        <v>496</v>
      </c>
      <c r="S118" s="131">
        <v>497</v>
      </c>
      <c r="T118" s="131">
        <v>505</v>
      </c>
      <c r="U118" s="131">
        <v>505</v>
      </c>
      <c r="V118" s="131">
        <v>505</v>
      </c>
      <c r="W118" s="131">
        <v>505</v>
      </c>
      <c r="X118" s="131">
        <v>505</v>
      </c>
      <c r="Y118" s="131" t="s">
        <v>794</v>
      </c>
      <c r="Z118" s="159" t="s">
        <v>794</v>
      </c>
    </row>
    <row r="119" spans="1:26" x14ac:dyDescent="0.2">
      <c r="A119" s="129" t="s">
        <v>22</v>
      </c>
      <c r="B119" s="129">
        <v>4005</v>
      </c>
      <c r="C119" s="129" t="s">
        <v>810</v>
      </c>
      <c r="D119" s="130" t="s">
        <v>768</v>
      </c>
      <c r="E119" s="131">
        <v>985</v>
      </c>
      <c r="F119" s="131">
        <v>913</v>
      </c>
      <c r="G119" s="131">
        <v>924</v>
      </c>
      <c r="H119" s="131">
        <v>0</v>
      </c>
      <c r="I119" s="131">
        <v>0</v>
      </c>
      <c r="J119" s="131">
        <v>972</v>
      </c>
      <c r="K119" s="131">
        <v>968</v>
      </c>
      <c r="L119" s="131">
        <v>780</v>
      </c>
      <c r="M119" s="131">
        <v>925</v>
      </c>
      <c r="N119" s="131">
        <v>1000</v>
      </c>
      <c r="O119" s="131">
        <v>1000</v>
      </c>
      <c r="P119" s="131">
        <v>1000</v>
      </c>
      <c r="Q119" s="131">
        <v>1011</v>
      </c>
      <c r="R119" s="131">
        <v>1011</v>
      </c>
      <c r="S119" s="131">
        <v>1011</v>
      </c>
      <c r="T119" s="131">
        <v>1011</v>
      </c>
      <c r="U119" s="131">
        <v>1011</v>
      </c>
      <c r="V119" s="131">
        <v>1011</v>
      </c>
      <c r="W119" s="131">
        <v>1011</v>
      </c>
      <c r="X119" s="131">
        <v>1015</v>
      </c>
      <c r="Y119" s="131">
        <v>1018</v>
      </c>
      <c r="Z119" s="159">
        <v>1057</v>
      </c>
    </row>
    <row r="120" spans="1:26" x14ac:dyDescent="0.2">
      <c r="A120" s="129" t="s">
        <v>22</v>
      </c>
      <c r="B120" s="129">
        <v>4607</v>
      </c>
      <c r="C120" s="129" t="s">
        <v>94</v>
      </c>
      <c r="D120" s="130" t="s">
        <v>768</v>
      </c>
      <c r="E120" s="131">
        <v>20028</v>
      </c>
      <c r="F120" s="131">
        <v>0</v>
      </c>
      <c r="G120" s="131">
        <v>20445</v>
      </c>
      <c r="H120" s="131">
        <v>20808</v>
      </c>
      <c r="I120" s="131">
        <v>0</v>
      </c>
      <c r="J120" s="131">
        <v>25144</v>
      </c>
      <c r="K120" s="131">
        <v>26680</v>
      </c>
      <c r="L120" s="131">
        <v>33834</v>
      </c>
      <c r="M120" s="131">
        <v>34057</v>
      </c>
      <c r="N120" s="131">
        <v>31865</v>
      </c>
      <c r="O120" s="131">
        <v>32120</v>
      </c>
      <c r="P120" s="131">
        <v>27773</v>
      </c>
      <c r="Q120" s="131">
        <v>27836</v>
      </c>
      <c r="R120" s="131">
        <v>32685</v>
      </c>
      <c r="S120" s="131">
        <v>32182</v>
      </c>
      <c r="T120" s="131">
        <v>32895</v>
      </c>
      <c r="U120" s="131">
        <v>33546</v>
      </c>
      <c r="V120" s="131">
        <v>34453</v>
      </c>
      <c r="W120" s="131">
        <v>33845</v>
      </c>
      <c r="X120" s="131">
        <v>34686</v>
      </c>
      <c r="Y120" s="131">
        <v>35605</v>
      </c>
      <c r="Z120" s="159">
        <v>33787</v>
      </c>
    </row>
    <row r="121" spans="1:26" x14ac:dyDescent="0.2">
      <c r="A121" s="129" t="s">
        <v>22</v>
      </c>
      <c r="B121" s="129">
        <v>4658</v>
      </c>
      <c r="C121" s="129" t="s">
        <v>74</v>
      </c>
      <c r="D121" s="130" t="s">
        <v>768</v>
      </c>
      <c r="E121" s="131">
        <v>0</v>
      </c>
      <c r="F121" s="131">
        <v>0</v>
      </c>
      <c r="G121" s="131">
        <v>0</v>
      </c>
      <c r="H121" s="131">
        <v>15538</v>
      </c>
      <c r="I121" s="131">
        <v>0</v>
      </c>
      <c r="J121" s="131">
        <v>8389</v>
      </c>
      <c r="K121" s="131">
        <v>8522</v>
      </c>
      <c r="L121" s="131">
        <v>8841</v>
      </c>
      <c r="M121" s="131">
        <v>8705</v>
      </c>
      <c r="N121" s="131">
        <v>0</v>
      </c>
      <c r="O121" s="131">
        <v>8538</v>
      </c>
      <c r="P121" s="131">
        <v>8609</v>
      </c>
      <c r="Q121" s="131">
        <v>8551</v>
      </c>
      <c r="R121" s="131">
        <v>8618</v>
      </c>
      <c r="S121" s="131">
        <v>8618</v>
      </c>
      <c r="T121" s="131">
        <v>8915</v>
      </c>
      <c r="U121" s="131">
        <v>8987</v>
      </c>
      <c r="V121" s="131">
        <v>9150</v>
      </c>
      <c r="W121" s="131">
        <v>9162</v>
      </c>
      <c r="X121" s="131">
        <v>9298</v>
      </c>
      <c r="Y121" s="131">
        <v>9371</v>
      </c>
      <c r="Z121" s="159">
        <v>10617</v>
      </c>
    </row>
    <row r="122" spans="1:26" x14ac:dyDescent="0.2">
      <c r="A122" s="129" t="s">
        <v>22</v>
      </c>
      <c r="B122" s="129">
        <v>4912</v>
      </c>
      <c r="C122" s="129" t="s">
        <v>811</v>
      </c>
      <c r="D122" s="130" t="s">
        <v>768</v>
      </c>
      <c r="E122" s="131">
        <v>62571.22</v>
      </c>
      <c r="F122" s="131">
        <v>62379.619999999995</v>
      </c>
      <c r="G122" s="131">
        <v>62686.559999999998</v>
      </c>
      <c r="H122" s="131">
        <v>60427</v>
      </c>
      <c r="I122" s="131">
        <v>61626</v>
      </c>
      <c r="J122" s="131">
        <v>62554</v>
      </c>
      <c r="K122" s="131">
        <v>63990</v>
      </c>
      <c r="L122" s="131">
        <v>74559</v>
      </c>
      <c r="M122" s="131">
        <v>66701</v>
      </c>
      <c r="N122" s="131">
        <v>66598</v>
      </c>
      <c r="O122" s="131">
        <v>65993</v>
      </c>
      <c r="P122" s="131">
        <v>66040</v>
      </c>
      <c r="Q122" s="131">
        <v>66692</v>
      </c>
      <c r="R122" s="131">
        <v>66617</v>
      </c>
      <c r="S122" s="131">
        <v>65578</v>
      </c>
      <c r="T122" s="131">
        <v>66643</v>
      </c>
      <c r="U122" s="131">
        <v>67145</v>
      </c>
      <c r="V122" s="131">
        <v>68714</v>
      </c>
      <c r="W122" s="131">
        <v>69528</v>
      </c>
      <c r="X122" s="131">
        <v>70841</v>
      </c>
      <c r="Y122" s="131">
        <v>70999</v>
      </c>
      <c r="Z122" s="159">
        <v>71790</v>
      </c>
    </row>
    <row r="123" spans="1:26" x14ac:dyDescent="0.2">
      <c r="A123" s="129" t="s">
        <v>22</v>
      </c>
      <c r="B123" s="129">
        <v>5251</v>
      </c>
      <c r="C123" s="129" t="s">
        <v>812</v>
      </c>
      <c r="D123" s="130" t="s">
        <v>768</v>
      </c>
      <c r="E123" s="131">
        <v>1524</v>
      </c>
      <c r="F123" s="131">
        <v>1414</v>
      </c>
      <c r="G123" s="131">
        <v>1098</v>
      </c>
      <c r="H123" s="131">
        <v>1098</v>
      </c>
      <c r="I123" s="131">
        <v>1098</v>
      </c>
      <c r="J123" s="131">
        <v>1099</v>
      </c>
      <c r="K123" s="131">
        <v>1101</v>
      </c>
      <c r="L123" s="131">
        <v>1098</v>
      </c>
      <c r="M123" s="131">
        <v>1111</v>
      </c>
      <c r="N123" s="131">
        <v>1190</v>
      </c>
      <c r="O123" s="131">
        <v>0</v>
      </c>
      <c r="P123" s="131">
        <v>843</v>
      </c>
      <c r="Q123" s="131">
        <v>1229</v>
      </c>
      <c r="R123" s="131">
        <v>1446</v>
      </c>
      <c r="S123" s="131">
        <v>1229</v>
      </c>
      <c r="T123" s="131">
        <v>1229</v>
      </c>
      <c r="U123" s="131">
        <v>1229</v>
      </c>
      <c r="V123" s="131">
        <v>1229</v>
      </c>
      <c r="W123" s="131">
        <v>1229</v>
      </c>
      <c r="X123" s="131">
        <v>1229</v>
      </c>
      <c r="Y123" s="131">
        <v>1229</v>
      </c>
      <c r="Z123" s="159">
        <v>1229</v>
      </c>
    </row>
    <row r="124" spans="1:26" x14ac:dyDescent="0.2">
      <c r="A124" s="129" t="s">
        <v>22</v>
      </c>
      <c r="B124" s="129">
        <v>5750</v>
      </c>
      <c r="C124" s="129" t="s">
        <v>66</v>
      </c>
      <c r="D124" s="130" t="s">
        <v>768</v>
      </c>
      <c r="E124" s="131">
        <v>0</v>
      </c>
      <c r="F124" s="131">
        <v>0</v>
      </c>
      <c r="G124" s="131">
        <v>0</v>
      </c>
      <c r="H124" s="131">
        <v>0</v>
      </c>
      <c r="I124" s="131">
        <v>0</v>
      </c>
      <c r="J124" s="131">
        <v>0</v>
      </c>
      <c r="K124" s="131">
        <v>1519</v>
      </c>
      <c r="L124" s="131">
        <v>0</v>
      </c>
      <c r="M124" s="131">
        <v>1894</v>
      </c>
      <c r="N124" s="131">
        <v>1861</v>
      </c>
      <c r="O124" s="131">
        <v>1910</v>
      </c>
      <c r="P124" s="131">
        <v>1909</v>
      </c>
      <c r="Q124" s="131">
        <v>1923</v>
      </c>
      <c r="R124" s="131">
        <v>2052</v>
      </c>
      <c r="S124" s="131">
        <v>2249</v>
      </c>
      <c r="T124" s="131">
        <v>2293</v>
      </c>
      <c r="U124" s="131">
        <v>2590</v>
      </c>
      <c r="V124" s="131">
        <v>3144</v>
      </c>
      <c r="W124" s="131">
        <v>3521</v>
      </c>
      <c r="X124" s="131">
        <v>3951</v>
      </c>
      <c r="Y124" s="131">
        <v>4204</v>
      </c>
      <c r="Z124" s="159">
        <v>4940</v>
      </c>
    </row>
    <row r="125" spans="1:26" x14ac:dyDescent="0.2">
      <c r="A125" s="129" t="s">
        <v>22</v>
      </c>
      <c r="B125" s="129">
        <v>5868</v>
      </c>
      <c r="C125" s="129" t="s">
        <v>880</v>
      </c>
      <c r="D125" s="130" t="s">
        <v>768</v>
      </c>
      <c r="E125" s="131">
        <v>0</v>
      </c>
      <c r="F125" s="131">
        <v>0</v>
      </c>
      <c r="G125" s="131">
        <v>0</v>
      </c>
      <c r="H125" s="131">
        <v>0</v>
      </c>
      <c r="I125" s="131">
        <v>0</v>
      </c>
      <c r="J125" s="131">
        <v>0</v>
      </c>
      <c r="K125" s="131">
        <v>0</v>
      </c>
      <c r="L125" s="131">
        <v>0</v>
      </c>
      <c r="M125" s="131">
        <v>0</v>
      </c>
      <c r="N125" s="131">
        <v>0</v>
      </c>
      <c r="O125" s="131">
        <v>0</v>
      </c>
      <c r="P125" s="131">
        <v>0</v>
      </c>
      <c r="Q125" s="131">
        <v>0</v>
      </c>
      <c r="R125" s="131">
        <v>0</v>
      </c>
      <c r="S125" s="131">
        <v>0</v>
      </c>
      <c r="T125" s="131">
        <v>0</v>
      </c>
      <c r="U125" s="131">
        <v>0</v>
      </c>
      <c r="V125" s="131">
        <v>499</v>
      </c>
      <c r="W125" s="131" t="s">
        <v>794</v>
      </c>
      <c r="X125" s="131">
        <v>499</v>
      </c>
      <c r="Y125" s="131">
        <v>499</v>
      </c>
      <c r="Z125" s="159">
        <v>499</v>
      </c>
    </row>
    <row r="126" spans="1:26" x14ac:dyDescent="0.2">
      <c r="A126" s="129" t="s">
        <v>22</v>
      </c>
      <c r="B126" s="129">
        <v>5870</v>
      </c>
      <c r="C126" s="129" t="s">
        <v>71</v>
      </c>
      <c r="D126" s="130" t="s">
        <v>768</v>
      </c>
      <c r="E126" s="131">
        <v>1274</v>
      </c>
      <c r="F126" s="131">
        <v>1298</v>
      </c>
      <c r="G126" s="131">
        <v>1322</v>
      </c>
      <c r="H126" s="131">
        <v>1342</v>
      </c>
      <c r="I126" s="131">
        <v>1409</v>
      </c>
      <c r="J126" s="131">
        <v>1426</v>
      </c>
      <c r="K126" s="131">
        <v>1365</v>
      </c>
      <c r="L126" s="131">
        <v>1368</v>
      </c>
      <c r="M126" s="131">
        <v>1366</v>
      </c>
      <c r="N126" s="131">
        <v>1397</v>
      </c>
      <c r="O126" s="131">
        <v>1387</v>
      </c>
      <c r="P126" s="131">
        <v>1379</v>
      </c>
      <c r="Q126" s="131">
        <v>1459</v>
      </c>
      <c r="R126" s="131">
        <v>1450</v>
      </c>
      <c r="S126" s="131">
        <v>1455</v>
      </c>
      <c r="T126" s="131">
        <v>1455</v>
      </c>
      <c r="U126" s="131">
        <v>1457</v>
      </c>
      <c r="V126" s="131">
        <v>1424</v>
      </c>
      <c r="W126" s="131">
        <v>1426</v>
      </c>
      <c r="X126" s="131">
        <v>1602</v>
      </c>
      <c r="Y126" s="131">
        <v>1634</v>
      </c>
      <c r="Z126" s="159">
        <v>1650</v>
      </c>
    </row>
    <row r="127" spans="1:26" x14ac:dyDescent="0.2">
      <c r="A127" s="129" t="s">
        <v>22</v>
      </c>
      <c r="B127" s="129">
        <v>5893</v>
      </c>
      <c r="C127" s="129" t="s">
        <v>813</v>
      </c>
      <c r="D127" s="130" t="s">
        <v>768</v>
      </c>
      <c r="E127" s="131">
        <v>1318</v>
      </c>
      <c r="F127" s="131">
        <v>0</v>
      </c>
      <c r="G127" s="131">
        <v>1152</v>
      </c>
      <c r="H127" s="131">
        <v>0</v>
      </c>
      <c r="I127" s="131">
        <v>0</v>
      </c>
      <c r="J127" s="131">
        <v>0</v>
      </c>
      <c r="K127" s="131">
        <v>0</v>
      </c>
      <c r="L127" s="131">
        <v>1213</v>
      </c>
      <c r="M127" s="131">
        <v>1578</v>
      </c>
      <c r="N127" s="131">
        <v>0</v>
      </c>
      <c r="O127" s="131">
        <v>0</v>
      </c>
      <c r="P127" s="131">
        <v>2031</v>
      </c>
      <c r="Q127" s="131">
        <v>1738</v>
      </c>
      <c r="R127" s="131">
        <v>2211</v>
      </c>
      <c r="S127" s="131">
        <v>2143</v>
      </c>
      <c r="T127" s="131">
        <v>2143</v>
      </c>
      <c r="U127" s="131">
        <v>1951</v>
      </c>
      <c r="V127" s="131">
        <v>2196</v>
      </c>
      <c r="W127" s="131">
        <v>2196</v>
      </c>
      <c r="X127" s="131">
        <v>2196</v>
      </c>
      <c r="Y127" s="131">
        <v>2299</v>
      </c>
      <c r="Z127" s="159">
        <v>2804</v>
      </c>
    </row>
    <row r="128" spans="1:26" x14ac:dyDescent="0.2">
      <c r="A128" s="129" t="s">
        <v>22</v>
      </c>
      <c r="B128" s="129">
        <v>6124</v>
      </c>
      <c r="C128" s="129" t="s">
        <v>76</v>
      </c>
      <c r="D128" s="130" t="s">
        <v>768</v>
      </c>
      <c r="E128" s="131">
        <v>1543</v>
      </c>
      <c r="F128" s="131">
        <v>1595</v>
      </c>
      <c r="G128" s="131">
        <v>1647</v>
      </c>
      <c r="H128" s="131">
        <v>1738</v>
      </c>
      <c r="I128" s="131">
        <v>1765</v>
      </c>
      <c r="J128" s="131">
        <v>1969</v>
      </c>
      <c r="K128" s="131">
        <v>1979</v>
      </c>
      <c r="L128" s="131">
        <v>2001</v>
      </c>
      <c r="M128" s="131">
        <v>2001</v>
      </c>
      <c r="N128" s="131">
        <v>1634</v>
      </c>
      <c r="O128" s="131">
        <v>1711</v>
      </c>
      <c r="P128" s="131">
        <v>1924</v>
      </c>
      <c r="Q128" s="131">
        <v>2160</v>
      </c>
      <c r="R128" s="131">
        <v>2043</v>
      </c>
      <c r="S128" s="131">
        <v>1901</v>
      </c>
      <c r="T128" s="131">
        <v>1901</v>
      </c>
      <c r="U128" s="131">
        <v>1786</v>
      </c>
      <c r="V128" s="131">
        <v>1902</v>
      </c>
      <c r="W128" s="131">
        <v>1791</v>
      </c>
      <c r="X128" s="131">
        <v>1846</v>
      </c>
      <c r="Y128" s="131">
        <v>1859</v>
      </c>
      <c r="Z128" s="159">
        <v>1888</v>
      </c>
    </row>
    <row r="129" spans="1:26" x14ac:dyDescent="0.2">
      <c r="A129" s="129" t="s">
        <v>22</v>
      </c>
      <c r="B129" s="129">
        <v>6174</v>
      </c>
      <c r="C129" s="129" t="s">
        <v>814</v>
      </c>
      <c r="D129" s="130" t="s">
        <v>768</v>
      </c>
      <c r="E129" s="131">
        <v>0</v>
      </c>
      <c r="F129" s="131">
        <v>0</v>
      </c>
      <c r="G129" s="131">
        <v>0</v>
      </c>
      <c r="H129" s="131">
        <v>0</v>
      </c>
      <c r="I129" s="131">
        <v>0</v>
      </c>
      <c r="J129" s="131">
        <v>0</v>
      </c>
      <c r="K129" s="131">
        <v>795</v>
      </c>
      <c r="L129" s="131">
        <v>795</v>
      </c>
      <c r="M129" s="131">
        <v>785</v>
      </c>
      <c r="N129" s="131">
        <v>0</v>
      </c>
      <c r="O129" s="131">
        <v>795</v>
      </c>
      <c r="P129" s="131">
        <v>795</v>
      </c>
      <c r="Q129" s="131">
        <v>795</v>
      </c>
      <c r="R129" s="131">
        <v>795</v>
      </c>
      <c r="S129" s="131">
        <v>795</v>
      </c>
      <c r="T129" s="131">
        <v>806</v>
      </c>
      <c r="U129" s="131">
        <v>795</v>
      </c>
      <c r="V129" s="131">
        <v>795</v>
      </c>
      <c r="W129" s="131">
        <v>795</v>
      </c>
      <c r="X129" s="131">
        <v>795</v>
      </c>
      <c r="Y129" s="131">
        <v>795</v>
      </c>
      <c r="Z129" s="159">
        <v>795</v>
      </c>
    </row>
    <row r="130" spans="1:26" x14ac:dyDescent="0.2">
      <c r="A130" s="129" t="s">
        <v>22</v>
      </c>
      <c r="B130" s="129">
        <v>6505</v>
      </c>
      <c r="C130" s="129" t="s">
        <v>815</v>
      </c>
      <c r="D130" s="130" t="s">
        <v>768</v>
      </c>
      <c r="E130" s="131">
        <v>8830</v>
      </c>
      <c r="F130" s="131">
        <v>0</v>
      </c>
      <c r="G130" s="131">
        <v>8173</v>
      </c>
      <c r="H130" s="131">
        <v>8741</v>
      </c>
      <c r="I130" s="131">
        <v>0</v>
      </c>
      <c r="J130" s="131">
        <v>0</v>
      </c>
      <c r="K130" s="131">
        <v>10086</v>
      </c>
      <c r="L130" s="131">
        <v>11121</v>
      </c>
      <c r="M130" s="131">
        <v>11512</v>
      </c>
      <c r="N130" s="131">
        <v>0</v>
      </c>
      <c r="O130" s="131">
        <v>11512</v>
      </c>
      <c r="P130" s="131">
        <v>11683</v>
      </c>
      <c r="Q130" s="131">
        <v>11683</v>
      </c>
      <c r="R130" s="131">
        <v>11847</v>
      </c>
      <c r="S130" s="131">
        <v>11955</v>
      </c>
      <c r="T130" s="131">
        <v>11955</v>
      </c>
      <c r="U130" s="131">
        <v>12121</v>
      </c>
      <c r="V130" s="131">
        <v>12212</v>
      </c>
      <c r="W130" s="131">
        <v>12286</v>
      </c>
      <c r="X130" s="131">
        <v>12447</v>
      </c>
      <c r="Y130" s="131">
        <v>12686</v>
      </c>
      <c r="Z130" s="159">
        <v>13015</v>
      </c>
    </row>
    <row r="131" spans="1:26" x14ac:dyDescent="0.2">
      <c r="A131" s="129" t="s">
        <v>22</v>
      </c>
      <c r="B131" s="129">
        <v>6506</v>
      </c>
      <c r="C131" s="129" t="s">
        <v>815</v>
      </c>
      <c r="D131" s="130" t="s">
        <v>768</v>
      </c>
      <c r="E131" s="131">
        <v>8828</v>
      </c>
      <c r="F131" s="131">
        <v>0</v>
      </c>
      <c r="G131" s="131">
        <v>9679</v>
      </c>
      <c r="H131" s="131">
        <v>10237</v>
      </c>
      <c r="I131" s="131">
        <v>0</v>
      </c>
      <c r="J131" s="131">
        <v>0</v>
      </c>
      <c r="K131" s="131">
        <v>9872</v>
      </c>
      <c r="L131" s="131">
        <v>12715</v>
      </c>
      <c r="M131" s="131">
        <v>12668</v>
      </c>
      <c r="N131" s="131">
        <v>0</v>
      </c>
      <c r="O131" s="131">
        <v>13782</v>
      </c>
      <c r="P131" s="131">
        <v>13939</v>
      </c>
      <c r="Q131" s="131">
        <v>14128</v>
      </c>
      <c r="R131" s="131">
        <v>14282</v>
      </c>
      <c r="S131" s="131">
        <v>14445</v>
      </c>
      <c r="T131" s="131">
        <v>14445</v>
      </c>
      <c r="U131" s="131">
        <v>14855</v>
      </c>
      <c r="V131" s="131">
        <v>15110</v>
      </c>
      <c r="W131" s="131">
        <v>15988</v>
      </c>
      <c r="X131" s="131">
        <v>15809</v>
      </c>
      <c r="Y131" s="131">
        <v>16220</v>
      </c>
      <c r="Z131" s="159">
        <v>16500</v>
      </c>
    </row>
    <row r="132" spans="1:26" x14ac:dyDescent="0.2">
      <c r="A132" s="129" t="s">
        <v>22</v>
      </c>
      <c r="B132" s="129">
        <v>6507</v>
      </c>
      <c r="C132" s="129" t="s">
        <v>815</v>
      </c>
      <c r="D132" s="130" t="s">
        <v>768</v>
      </c>
      <c r="E132" s="131">
        <v>4060</v>
      </c>
      <c r="F132" s="131">
        <v>0</v>
      </c>
      <c r="G132" s="131">
        <v>4594</v>
      </c>
      <c r="H132" s="131">
        <v>4460</v>
      </c>
      <c r="I132" s="131">
        <v>0</v>
      </c>
      <c r="J132" s="131">
        <v>0</v>
      </c>
      <c r="K132" s="131">
        <v>6155</v>
      </c>
      <c r="L132" s="131">
        <v>5308</v>
      </c>
      <c r="M132" s="131">
        <v>4488</v>
      </c>
      <c r="N132" s="131">
        <v>4956</v>
      </c>
      <c r="O132" s="131">
        <v>4963</v>
      </c>
      <c r="P132" s="131">
        <v>4980</v>
      </c>
      <c r="Q132" s="131">
        <v>4999</v>
      </c>
      <c r="R132" s="131">
        <v>5021</v>
      </c>
      <c r="S132" s="131">
        <v>5049</v>
      </c>
      <c r="T132" s="131">
        <v>5049</v>
      </c>
      <c r="U132" s="131">
        <v>5086</v>
      </c>
      <c r="V132" s="131">
        <v>5175</v>
      </c>
      <c r="W132" s="131">
        <v>5243</v>
      </c>
      <c r="X132" s="131">
        <v>5331</v>
      </c>
      <c r="Y132" s="131">
        <v>5331</v>
      </c>
      <c r="Z132" s="159">
        <v>5494</v>
      </c>
    </row>
    <row r="133" spans="1:26" x14ac:dyDescent="0.2">
      <c r="A133" s="129" t="s">
        <v>22</v>
      </c>
      <c r="B133" s="129">
        <v>6508</v>
      </c>
      <c r="C133" s="129" t="s">
        <v>815</v>
      </c>
      <c r="D133" s="130" t="s">
        <v>768</v>
      </c>
      <c r="E133" s="131">
        <v>1462</v>
      </c>
      <c r="F133" s="131">
        <v>1379</v>
      </c>
      <c r="G133" s="131">
        <v>1433</v>
      </c>
      <c r="H133" s="131">
        <v>1472</v>
      </c>
      <c r="I133" s="131">
        <v>0</v>
      </c>
      <c r="J133" s="131">
        <v>0</v>
      </c>
      <c r="K133" s="131">
        <v>1552</v>
      </c>
      <c r="L133" s="131">
        <v>0</v>
      </c>
      <c r="M133" s="131">
        <v>1577</v>
      </c>
      <c r="N133" s="131">
        <v>1582</v>
      </c>
      <c r="O133" s="131">
        <v>1591</v>
      </c>
      <c r="P133" s="131">
        <v>1593</v>
      </c>
      <c r="Q133" s="131">
        <v>1594</v>
      </c>
      <c r="R133" s="131">
        <v>1597</v>
      </c>
      <c r="S133" s="131">
        <v>1600</v>
      </c>
      <c r="T133" s="131">
        <v>1600</v>
      </c>
      <c r="U133" s="131">
        <v>1598</v>
      </c>
      <c r="V133" s="131">
        <v>1603</v>
      </c>
      <c r="W133" s="131">
        <v>1611</v>
      </c>
      <c r="X133" s="131">
        <v>1615</v>
      </c>
      <c r="Y133" s="131">
        <v>1619</v>
      </c>
      <c r="Z133" s="159">
        <v>1624</v>
      </c>
    </row>
    <row r="134" spans="1:26" x14ac:dyDescent="0.2">
      <c r="A134" s="129" t="s">
        <v>22</v>
      </c>
      <c r="B134" s="129">
        <v>6509</v>
      </c>
      <c r="C134" s="129" t="s">
        <v>815</v>
      </c>
      <c r="D134" s="130" t="s">
        <v>768</v>
      </c>
      <c r="E134" s="131">
        <v>9068</v>
      </c>
      <c r="F134" s="131">
        <v>0</v>
      </c>
      <c r="G134" s="131">
        <v>11715</v>
      </c>
      <c r="H134" s="131">
        <v>13478</v>
      </c>
      <c r="I134" s="131">
        <v>0</v>
      </c>
      <c r="J134" s="131">
        <v>17938.565999999999</v>
      </c>
      <c r="K134" s="131">
        <v>21397</v>
      </c>
      <c r="L134" s="131">
        <v>0</v>
      </c>
      <c r="M134" s="131">
        <v>21476</v>
      </c>
      <c r="N134" s="131">
        <v>21964</v>
      </c>
      <c r="O134" s="131">
        <v>22029</v>
      </c>
      <c r="P134" s="131">
        <v>22181</v>
      </c>
      <c r="Q134" s="131">
        <v>22342</v>
      </c>
      <c r="R134" s="131">
        <v>22612</v>
      </c>
      <c r="S134" s="131">
        <v>23017</v>
      </c>
      <c r="T134" s="131">
        <v>23580</v>
      </c>
      <c r="U134" s="131">
        <v>24405</v>
      </c>
      <c r="V134" s="131">
        <v>25514</v>
      </c>
      <c r="W134" s="131">
        <v>26579</v>
      </c>
      <c r="X134" s="131">
        <v>27692</v>
      </c>
      <c r="Y134" s="131">
        <v>29694</v>
      </c>
      <c r="Z134" s="159">
        <v>31171</v>
      </c>
    </row>
    <row r="135" spans="1:26" x14ac:dyDescent="0.2">
      <c r="A135" s="129" t="s">
        <v>22</v>
      </c>
      <c r="B135" s="129">
        <v>6624</v>
      </c>
      <c r="C135" s="129" t="s">
        <v>73</v>
      </c>
      <c r="D135" s="130" t="s">
        <v>768</v>
      </c>
      <c r="E135" s="131">
        <v>1697</v>
      </c>
      <c r="F135" s="131">
        <v>1717</v>
      </c>
      <c r="G135" s="131">
        <v>1717</v>
      </c>
      <c r="H135" s="131">
        <v>2319</v>
      </c>
      <c r="I135" s="131">
        <v>0</v>
      </c>
      <c r="J135" s="131">
        <v>0</v>
      </c>
      <c r="K135" s="131">
        <v>2593</v>
      </c>
      <c r="L135" s="131">
        <v>2719</v>
      </c>
      <c r="M135" s="131">
        <v>2494</v>
      </c>
      <c r="N135" s="131">
        <v>2644</v>
      </c>
      <c r="O135" s="131">
        <v>2637</v>
      </c>
      <c r="P135" s="131">
        <v>2458</v>
      </c>
      <c r="Q135" s="131">
        <v>2765</v>
      </c>
      <c r="R135" s="131">
        <v>2764</v>
      </c>
      <c r="S135" s="131">
        <v>2782</v>
      </c>
      <c r="T135" s="131">
        <v>2782</v>
      </c>
      <c r="U135" s="131">
        <v>3075</v>
      </c>
      <c r="V135" s="131">
        <v>3194</v>
      </c>
      <c r="W135" s="131">
        <v>3034</v>
      </c>
      <c r="X135" s="131">
        <v>3125</v>
      </c>
      <c r="Y135" s="131">
        <v>3173</v>
      </c>
      <c r="Z135" s="159">
        <v>3235</v>
      </c>
    </row>
    <row r="136" spans="1:26" x14ac:dyDescent="0.2">
      <c r="A136" s="129" t="s">
        <v>22</v>
      </c>
      <c r="B136" s="129">
        <v>6920</v>
      </c>
      <c r="C136" s="129" t="s">
        <v>69</v>
      </c>
      <c r="D136" s="130" t="s">
        <v>768</v>
      </c>
      <c r="E136" s="131">
        <v>554</v>
      </c>
      <c r="F136" s="131">
        <v>800</v>
      </c>
      <c r="G136" s="131">
        <v>0</v>
      </c>
      <c r="H136" s="131">
        <v>819</v>
      </c>
      <c r="I136" s="131">
        <v>0</v>
      </c>
      <c r="J136" s="131">
        <v>966</v>
      </c>
      <c r="K136" s="131">
        <v>909</v>
      </c>
      <c r="L136" s="131">
        <v>908</v>
      </c>
      <c r="M136" s="131">
        <v>1200</v>
      </c>
      <c r="N136" s="131">
        <v>1216</v>
      </c>
      <c r="O136" s="131">
        <v>1191</v>
      </c>
      <c r="P136" s="131">
        <v>1172</v>
      </c>
      <c r="Q136" s="131">
        <v>1220</v>
      </c>
      <c r="R136" s="131">
        <v>1204</v>
      </c>
      <c r="S136" s="131">
        <v>1211</v>
      </c>
      <c r="T136" s="131">
        <v>1207</v>
      </c>
      <c r="U136" s="131">
        <v>1239</v>
      </c>
      <c r="V136" s="131">
        <v>1272</v>
      </c>
      <c r="W136" s="131">
        <v>1332</v>
      </c>
      <c r="X136" s="131">
        <v>1425</v>
      </c>
      <c r="Y136" s="131">
        <v>1574</v>
      </c>
      <c r="Z136" s="159">
        <v>1817</v>
      </c>
    </row>
    <row r="137" spans="1:26" x14ac:dyDescent="0.2">
      <c r="A137" s="129" t="s">
        <v>22</v>
      </c>
      <c r="B137" s="129">
        <v>7119</v>
      </c>
      <c r="C137" s="129" t="s">
        <v>53</v>
      </c>
      <c r="D137" s="130" t="s">
        <v>768</v>
      </c>
      <c r="E137" s="131">
        <v>7826</v>
      </c>
      <c r="F137" s="131">
        <v>8166</v>
      </c>
      <c r="G137" s="131">
        <v>8362</v>
      </c>
      <c r="H137" s="131">
        <v>8451</v>
      </c>
      <c r="I137" s="131">
        <v>8614</v>
      </c>
      <c r="J137" s="131">
        <v>8840</v>
      </c>
      <c r="K137" s="131">
        <v>9336</v>
      </c>
      <c r="L137" s="131">
        <v>9655</v>
      </c>
      <c r="M137" s="131">
        <v>9621</v>
      </c>
      <c r="N137" s="131">
        <v>9669</v>
      </c>
      <c r="O137" s="131">
        <v>9745</v>
      </c>
      <c r="P137" s="131">
        <v>9804</v>
      </c>
      <c r="Q137" s="131">
        <v>9876</v>
      </c>
      <c r="R137" s="131">
        <v>10036</v>
      </c>
      <c r="S137" s="131">
        <v>10218</v>
      </c>
      <c r="T137" s="131">
        <v>10218</v>
      </c>
      <c r="U137" s="131">
        <v>10921</v>
      </c>
      <c r="V137" s="131">
        <v>11028</v>
      </c>
      <c r="W137" s="131">
        <v>12076</v>
      </c>
      <c r="X137" s="131">
        <v>11520</v>
      </c>
      <c r="Y137" s="131">
        <v>12085</v>
      </c>
      <c r="Z137" s="159">
        <v>12631</v>
      </c>
    </row>
    <row r="138" spans="1:26" x14ac:dyDescent="0.2">
      <c r="A138" s="129" t="s">
        <v>22</v>
      </c>
      <c r="B138" s="129">
        <v>7187</v>
      </c>
      <c r="C138" s="129" t="s">
        <v>816</v>
      </c>
      <c r="D138" s="130" t="s">
        <v>768</v>
      </c>
      <c r="E138" s="131">
        <v>867</v>
      </c>
      <c r="F138" s="131">
        <v>867</v>
      </c>
      <c r="G138" s="131">
        <v>867</v>
      </c>
      <c r="H138" s="131">
        <v>868</v>
      </c>
      <c r="I138" s="131">
        <v>869</v>
      </c>
      <c r="J138" s="131">
        <v>950</v>
      </c>
      <c r="K138" s="131">
        <v>0</v>
      </c>
      <c r="L138" s="131">
        <v>867</v>
      </c>
      <c r="M138" s="131">
        <v>962</v>
      </c>
      <c r="N138" s="131">
        <v>962</v>
      </c>
      <c r="O138" s="131">
        <v>962</v>
      </c>
      <c r="P138" s="131">
        <v>962</v>
      </c>
      <c r="Q138" s="131">
        <v>962</v>
      </c>
      <c r="R138" s="131">
        <v>962</v>
      </c>
      <c r="S138" s="131">
        <v>962</v>
      </c>
      <c r="T138" s="131">
        <v>962</v>
      </c>
      <c r="U138" s="131">
        <v>962</v>
      </c>
      <c r="V138" s="131">
        <v>869</v>
      </c>
      <c r="W138" s="131">
        <v>869</v>
      </c>
      <c r="X138" s="131">
        <v>869</v>
      </c>
      <c r="Y138" s="131">
        <v>869</v>
      </c>
      <c r="Z138" s="159">
        <v>869</v>
      </c>
    </row>
    <row r="139" spans="1:26" x14ac:dyDescent="0.2">
      <c r="A139" s="129" t="s">
        <v>22</v>
      </c>
      <c r="B139" s="129">
        <v>7328</v>
      </c>
      <c r="C139" s="129" t="s">
        <v>817</v>
      </c>
      <c r="D139" s="130" t="s">
        <v>768</v>
      </c>
      <c r="E139" s="131">
        <v>0</v>
      </c>
      <c r="F139" s="131">
        <v>0</v>
      </c>
      <c r="G139" s="131">
        <v>0</v>
      </c>
      <c r="H139" s="131">
        <v>0</v>
      </c>
      <c r="I139" s="131">
        <v>0</v>
      </c>
      <c r="J139" s="131">
        <v>0</v>
      </c>
      <c r="K139" s="131">
        <v>500</v>
      </c>
      <c r="L139" s="131">
        <v>500</v>
      </c>
      <c r="M139" s="131">
        <v>500</v>
      </c>
      <c r="N139" s="131">
        <v>500</v>
      </c>
      <c r="O139" s="131">
        <v>0</v>
      </c>
      <c r="P139" s="131">
        <v>500</v>
      </c>
      <c r="Q139" s="131">
        <v>500</v>
      </c>
      <c r="R139" s="131">
        <v>500</v>
      </c>
      <c r="S139" s="131">
        <v>500</v>
      </c>
      <c r="T139" s="131">
        <v>500</v>
      </c>
      <c r="U139" s="131">
        <v>500</v>
      </c>
      <c r="V139" s="131">
        <v>500</v>
      </c>
      <c r="W139" s="131">
        <v>500</v>
      </c>
      <c r="X139" s="131">
        <v>500</v>
      </c>
      <c r="Y139" s="131">
        <v>500</v>
      </c>
      <c r="Z139" s="159">
        <v>500</v>
      </c>
    </row>
    <row r="140" spans="1:26" x14ac:dyDescent="0.2">
      <c r="A140" s="129" t="s">
        <v>22</v>
      </c>
      <c r="B140" s="129">
        <v>7878</v>
      </c>
      <c r="C140" s="129" t="s">
        <v>483</v>
      </c>
      <c r="D140" s="130" t="s">
        <v>768</v>
      </c>
      <c r="E140" s="131">
        <v>0</v>
      </c>
      <c r="F140" s="131">
        <v>780</v>
      </c>
      <c r="G140" s="131">
        <v>0</v>
      </c>
      <c r="H140" s="131">
        <v>0</v>
      </c>
      <c r="I140" s="131">
        <v>0</v>
      </c>
      <c r="J140" s="131">
        <v>803</v>
      </c>
      <c r="K140" s="131">
        <v>0</v>
      </c>
      <c r="L140" s="131">
        <v>847</v>
      </c>
      <c r="M140" s="131">
        <v>0</v>
      </c>
      <c r="N140" s="131">
        <v>0</v>
      </c>
      <c r="O140" s="131">
        <v>838</v>
      </c>
      <c r="P140" s="131">
        <v>761</v>
      </c>
      <c r="Q140" s="131">
        <v>847</v>
      </c>
      <c r="R140" s="131">
        <v>847</v>
      </c>
      <c r="S140" s="131">
        <v>847</v>
      </c>
      <c r="T140" s="131">
        <v>847</v>
      </c>
      <c r="U140" s="131">
        <v>847</v>
      </c>
      <c r="V140" s="131">
        <v>847</v>
      </c>
      <c r="W140" s="131">
        <v>847</v>
      </c>
      <c r="X140" s="131">
        <v>847</v>
      </c>
      <c r="Y140" s="131">
        <v>847</v>
      </c>
      <c r="Z140" s="159">
        <v>857</v>
      </c>
    </row>
    <row r="141" spans="1:26" x14ac:dyDescent="0.2">
      <c r="A141" s="129" t="s">
        <v>22</v>
      </c>
      <c r="B141" s="129">
        <v>8054</v>
      </c>
      <c r="C141" s="129" t="s">
        <v>815</v>
      </c>
      <c r="D141" s="130" t="s">
        <v>768</v>
      </c>
      <c r="E141" s="131">
        <v>1721</v>
      </c>
      <c r="F141" s="131">
        <v>2062</v>
      </c>
      <c r="G141" s="131">
        <v>1861</v>
      </c>
      <c r="H141" s="131">
        <v>2137</v>
      </c>
      <c r="I141" s="131">
        <v>0</v>
      </c>
      <c r="J141" s="131">
        <v>0</v>
      </c>
      <c r="K141" s="131">
        <v>1599.6031746031747</v>
      </c>
      <c r="L141" s="131">
        <v>2465</v>
      </c>
      <c r="M141" s="131">
        <v>2477</v>
      </c>
      <c r="N141" s="131">
        <v>2484</v>
      </c>
      <c r="O141" s="131">
        <v>2488</v>
      </c>
      <c r="P141" s="131">
        <v>2491</v>
      </c>
      <c r="Q141" s="131">
        <v>2493</v>
      </c>
      <c r="R141" s="131">
        <v>2495</v>
      </c>
      <c r="S141" s="131">
        <v>2498</v>
      </c>
      <c r="T141" s="131">
        <v>2509</v>
      </c>
      <c r="U141" s="131">
        <v>2513</v>
      </c>
      <c r="V141" s="131">
        <v>2516</v>
      </c>
      <c r="W141" s="131">
        <v>2528</v>
      </c>
      <c r="X141" s="131">
        <v>2532</v>
      </c>
      <c r="Y141" s="131">
        <v>2541</v>
      </c>
      <c r="Z141" s="159">
        <v>2559</v>
      </c>
    </row>
    <row r="142" spans="1:26" x14ac:dyDescent="0.2">
      <c r="A142" s="129" t="s">
        <v>22</v>
      </c>
      <c r="B142" s="129">
        <v>8344</v>
      </c>
      <c r="C142" s="129" t="s">
        <v>818</v>
      </c>
      <c r="D142" s="130" t="s">
        <v>768</v>
      </c>
      <c r="E142" s="131">
        <v>708</v>
      </c>
      <c r="F142" s="131">
        <v>708</v>
      </c>
      <c r="G142" s="131">
        <v>708</v>
      </c>
      <c r="H142" s="131">
        <v>708</v>
      </c>
      <c r="I142" s="131">
        <v>711</v>
      </c>
      <c r="J142" s="131">
        <v>0</v>
      </c>
      <c r="K142" s="131">
        <v>0</v>
      </c>
      <c r="L142" s="131">
        <v>0</v>
      </c>
      <c r="M142" s="131">
        <v>714</v>
      </c>
      <c r="N142" s="131">
        <v>714</v>
      </c>
      <c r="O142" s="131">
        <v>714</v>
      </c>
      <c r="P142" s="131">
        <v>714</v>
      </c>
      <c r="Q142" s="131">
        <v>714</v>
      </c>
      <c r="R142" s="131">
        <v>714</v>
      </c>
      <c r="S142" s="131">
        <v>714</v>
      </c>
      <c r="T142" s="131">
        <v>705</v>
      </c>
      <c r="U142" s="131">
        <v>705</v>
      </c>
      <c r="V142" s="131">
        <v>705</v>
      </c>
      <c r="W142" s="131">
        <v>705</v>
      </c>
      <c r="X142" s="131">
        <v>705</v>
      </c>
      <c r="Y142" s="131">
        <v>705</v>
      </c>
      <c r="Z142" s="159">
        <v>705</v>
      </c>
    </row>
    <row r="143" spans="1:26" x14ac:dyDescent="0.2">
      <c r="A143" s="129" t="s">
        <v>22</v>
      </c>
      <c r="B143" s="129">
        <v>8468</v>
      </c>
      <c r="C143" s="129" t="s">
        <v>35</v>
      </c>
      <c r="D143" s="130" t="s">
        <v>768</v>
      </c>
      <c r="E143" s="131">
        <v>779</v>
      </c>
      <c r="F143" s="131">
        <v>0</v>
      </c>
      <c r="G143" s="131">
        <v>777</v>
      </c>
      <c r="H143" s="131">
        <v>822</v>
      </c>
      <c r="I143" s="131">
        <v>0</v>
      </c>
      <c r="J143" s="131">
        <v>861</v>
      </c>
      <c r="K143" s="131">
        <v>861</v>
      </c>
      <c r="L143" s="131">
        <v>860</v>
      </c>
      <c r="M143" s="131">
        <v>1931</v>
      </c>
      <c r="N143" s="131">
        <v>1941</v>
      </c>
      <c r="O143" s="131">
        <v>1940</v>
      </c>
      <c r="P143" s="131">
        <v>1954</v>
      </c>
      <c r="Q143" s="131">
        <v>1994</v>
      </c>
      <c r="R143" s="131">
        <v>1973</v>
      </c>
      <c r="S143" s="131">
        <v>1943</v>
      </c>
      <c r="T143" s="131">
        <v>2104</v>
      </c>
      <c r="U143" s="131">
        <v>2169</v>
      </c>
      <c r="V143" s="131">
        <v>2231</v>
      </c>
      <c r="W143" s="131">
        <v>2376</v>
      </c>
      <c r="X143" s="131">
        <v>2467</v>
      </c>
      <c r="Y143" s="131">
        <v>2522</v>
      </c>
      <c r="Z143" s="159">
        <v>2569</v>
      </c>
    </row>
    <row r="144" spans="1:26" x14ac:dyDescent="0.2">
      <c r="A144" s="129" t="s">
        <v>22</v>
      </c>
      <c r="B144" s="129">
        <v>8522</v>
      </c>
      <c r="C144" s="129" t="s">
        <v>72</v>
      </c>
      <c r="D144" s="130" t="s">
        <v>768</v>
      </c>
      <c r="E144" s="131">
        <v>0</v>
      </c>
      <c r="F144" s="131">
        <v>5957</v>
      </c>
      <c r="G144" s="131">
        <v>6157</v>
      </c>
      <c r="H144" s="131">
        <v>6335</v>
      </c>
      <c r="I144" s="131">
        <v>0</v>
      </c>
      <c r="J144" s="131">
        <v>7306</v>
      </c>
      <c r="K144" s="131">
        <v>7888</v>
      </c>
      <c r="L144" s="131">
        <v>8016</v>
      </c>
      <c r="M144" s="131">
        <v>8729</v>
      </c>
      <c r="N144" s="131">
        <v>8836</v>
      </c>
      <c r="O144" s="131">
        <v>7591</v>
      </c>
      <c r="P144" s="131">
        <v>11053</v>
      </c>
      <c r="Q144" s="131">
        <v>11095</v>
      </c>
      <c r="R144" s="131">
        <v>11234</v>
      </c>
      <c r="S144" s="131">
        <v>11439</v>
      </c>
      <c r="T144" s="131">
        <v>11606</v>
      </c>
      <c r="U144" s="131">
        <v>11928</v>
      </c>
      <c r="V144" s="131">
        <v>12281</v>
      </c>
      <c r="W144" s="131">
        <v>13437</v>
      </c>
      <c r="X144" s="131">
        <v>13775</v>
      </c>
      <c r="Y144" s="131">
        <v>14567</v>
      </c>
      <c r="Z144" s="159">
        <v>16417</v>
      </c>
    </row>
    <row r="145" spans="1:26" x14ac:dyDescent="0.2">
      <c r="A145" s="129" t="s">
        <v>22</v>
      </c>
      <c r="B145" s="129">
        <v>8753</v>
      </c>
      <c r="C145" s="129" t="s">
        <v>819</v>
      </c>
      <c r="D145" s="130" t="s">
        <v>768</v>
      </c>
      <c r="E145" s="131">
        <v>385</v>
      </c>
      <c r="F145" s="131">
        <v>385</v>
      </c>
      <c r="G145" s="131">
        <v>385</v>
      </c>
      <c r="H145" s="131">
        <v>390</v>
      </c>
      <c r="I145" s="131">
        <v>395</v>
      </c>
      <c r="J145" s="131">
        <v>400</v>
      </c>
      <c r="K145" s="131">
        <v>0</v>
      </c>
      <c r="L145" s="131">
        <v>385</v>
      </c>
      <c r="M145" s="131">
        <v>394</v>
      </c>
      <c r="N145" s="131">
        <v>394</v>
      </c>
      <c r="O145" s="131">
        <v>394</v>
      </c>
      <c r="P145" s="131">
        <v>394</v>
      </c>
      <c r="Q145" s="131">
        <v>394</v>
      </c>
      <c r="R145" s="131">
        <v>394</v>
      </c>
      <c r="S145" s="131">
        <v>391</v>
      </c>
      <c r="T145" s="131">
        <v>391</v>
      </c>
      <c r="U145" s="131" t="s">
        <v>794</v>
      </c>
      <c r="V145" s="131" t="s">
        <v>794</v>
      </c>
      <c r="W145" s="131" t="s">
        <v>794</v>
      </c>
      <c r="X145" s="131" t="s">
        <v>794</v>
      </c>
      <c r="Y145" s="131" t="s">
        <v>794</v>
      </c>
      <c r="Z145" s="159" t="s">
        <v>794</v>
      </c>
    </row>
    <row r="146" spans="1:26" x14ac:dyDescent="0.2">
      <c r="A146" s="129" t="s">
        <v>22</v>
      </c>
      <c r="B146" s="129">
        <v>8967</v>
      </c>
      <c r="C146" s="129" t="s">
        <v>820</v>
      </c>
      <c r="D146" s="130" t="s">
        <v>768</v>
      </c>
      <c r="E146" s="131">
        <v>0</v>
      </c>
      <c r="F146" s="131">
        <v>0</v>
      </c>
      <c r="G146" s="131">
        <v>0</v>
      </c>
      <c r="H146" s="131">
        <v>419</v>
      </c>
      <c r="I146" s="131">
        <v>0</v>
      </c>
      <c r="J146" s="131">
        <v>0</v>
      </c>
      <c r="K146" s="131">
        <v>415</v>
      </c>
      <c r="L146" s="131">
        <v>415</v>
      </c>
      <c r="M146" s="131">
        <v>415</v>
      </c>
      <c r="N146" s="131">
        <v>415</v>
      </c>
      <c r="O146" s="131">
        <v>415</v>
      </c>
      <c r="P146" s="131">
        <v>415</v>
      </c>
      <c r="Q146" s="131">
        <v>415</v>
      </c>
      <c r="R146" s="131">
        <v>415</v>
      </c>
      <c r="S146" s="131">
        <v>415</v>
      </c>
      <c r="T146" s="131">
        <v>416</v>
      </c>
      <c r="U146" s="131">
        <v>416</v>
      </c>
      <c r="V146" s="131">
        <v>416</v>
      </c>
      <c r="W146" s="131">
        <v>416</v>
      </c>
      <c r="X146" s="131">
        <v>416</v>
      </c>
      <c r="Y146" s="131">
        <v>416</v>
      </c>
      <c r="Z146" s="159">
        <v>416</v>
      </c>
    </row>
    <row r="147" spans="1:26" x14ac:dyDescent="0.2">
      <c r="A147" s="129" t="s">
        <v>22</v>
      </c>
      <c r="B147" s="129">
        <v>10141</v>
      </c>
      <c r="C147" s="129" t="s">
        <v>821</v>
      </c>
      <c r="D147" s="130" t="s">
        <v>768</v>
      </c>
      <c r="E147" s="131">
        <v>0</v>
      </c>
      <c r="F147" s="131">
        <v>0</v>
      </c>
      <c r="G147" s="131">
        <v>0</v>
      </c>
      <c r="H147" s="131">
        <v>0</v>
      </c>
      <c r="I147" s="131">
        <v>0</v>
      </c>
      <c r="J147" s="131">
        <v>0</v>
      </c>
      <c r="K147" s="131">
        <v>0</v>
      </c>
      <c r="L147" s="131">
        <v>0</v>
      </c>
      <c r="M147" s="131">
        <v>0</v>
      </c>
      <c r="N147" s="131">
        <v>0</v>
      </c>
      <c r="O147" s="131">
        <v>0</v>
      </c>
      <c r="P147" s="131">
        <v>0</v>
      </c>
      <c r="Q147" s="131">
        <v>0</v>
      </c>
      <c r="R147" s="131"/>
      <c r="S147" s="131"/>
      <c r="T147" s="131"/>
      <c r="U147" s="131">
        <v>0</v>
      </c>
      <c r="V147" s="131" t="s">
        <v>794</v>
      </c>
      <c r="W147" s="131" t="s">
        <v>794</v>
      </c>
      <c r="X147" s="131" t="s">
        <v>794</v>
      </c>
      <c r="Y147" s="131" t="s">
        <v>794</v>
      </c>
      <c r="Z147" s="159">
        <v>145</v>
      </c>
    </row>
    <row r="148" spans="1:26" x14ac:dyDescent="0.2">
      <c r="A148" s="129" t="s">
        <v>22</v>
      </c>
      <c r="B148" s="129">
        <v>12800</v>
      </c>
      <c r="C148" s="129" t="s">
        <v>822</v>
      </c>
      <c r="D148" s="130" t="s">
        <v>768</v>
      </c>
      <c r="E148" s="131">
        <v>0</v>
      </c>
      <c r="F148" s="131">
        <v>0</v>
      </c>
      <c r="G148" s="131">
        <v>0</v>
      </c>
      <c r="H148" s="131">
        <v>0</v>
      </c>
      <c r="I148" s="131">
        <v>0</v>
      </c>
      <c r="J148" s="131">
        <v>0</v>
      </c>
      <c r="K148" s="131">
        <v>0</v>
      </c>
      <c r="L148" s="131">
        <v>0</v>
      </c>
      <c r="M148" s="131">
        <v>0</v>
      </c>
      <c r="N148" s="131">
        <v>0</v>
      </c>
      <c r="O148" s="131">
        <v>0</v>
      </c>
      <c r="P148" s="131">
        <v>0</v>
      </c>
      <c r="Q148" s="131">
        <v>0</v>
      </c>
      <c r="R148" s="131">
        <v>0</v>
      </c>
      <c r="S148" s="131">
        <v>0</v>
      </c>
      <c r="T148" s="131" t="s">
        <v>794</v>
      </c>
      <c r="U148" s="131">
        <v>0</v>
      </c>
      <c r="V148" s="131">
        <v>117</v>
      </c>
      <c r="W148" s="131">
        <v>166</v>
      </c>
      <c r="X148" s="131">
        <v>353</v>
      </c>
      <c r="Y148" s="131">
        <v>391</v>
      </c>
      <c r="Z148" s="159">
        <v>759</v>
      </c>
    </row>
    <row r="149" spans="1:26" x14ac:dyDescent="0.2">
      <c r="A149" s="129" t="s">
        <v>22</v>
      </c>
      <c r="B149" s="129">
        <v>12964</v>
      </c>
      <c r="C149" s="129" t="s">
        <v>823</v>
      </c>
      <c r="D149" s="130" t="s">
        <v>768</v>
      </c>
      <c r="E149" s="131">
        <v>0</v>
      </c>
      <c r="F149" s="131">
        <v>0</v>
      </c>
      <c r="G149" s="131">
        <v>0</v>
      </c>
      <c r="H149" s="131">
        <v>0</v>
      </c>
      <c r="I149" s="131">
        <v>0</v>
      </c>
      <c r="J149" s="131">
        <v>0</v>
      </c>
      <c r="K149" s="131">
        <v>0</v>
      </c>
      <c r="L149" s="131">
        <v>0</v>
      </c>
      <c r="M149" s="131">
        <v>0</v>
      </c>
      <c r="N149" s="131">
        <v>0</v>
      </c>
      <c r="O149" s="131">
        <v>0</v>
      </c>
      <c r="P149" s="131">
        <v>0</v>
      </c>
      <c r="Q149" s="131">
        <v>0</v>
      </c>
      <c r="R149" s="131">
        <v>0</v>
      </c>
      <c r="S149" s="131">
        <v>0</v>
      </c>
      <c r="T149" s="131" t="s">
        <v>794</v>
      </c>
      <c r="U149" s="131" t="s">
        <v>794</v>
      </c>
      <c r="V149" s="131" t="s">
        <v>794</v>
      </c>
      <c r="W149" s="131" t="s">
        <v>794</v>
      </c>
      <c r="X149" s="131" t="s">
        <v>794</v>
      </c>
      <c r="Y149" s="131" t="s">
        <v>794</v>
      </c>
      <c r="Z149" s="159" t="s">
        <v>794</v>
      </c>
    </row>
    <row r="150" spans="1:26" x14ac:dyDescent="0.2">
      <c r="A150" s="129" t="s">
        <v>22</v>
      </c>
      <c r="B150" s="129">
        <v>13043</v>
      </c>
      <c r="C150" s="129" t="s">
        <v>824</v>
      </c>
      <c r="D150" s="130" t="s">
        <v>768</v>
      </c>
      <c r="E150" s="131">
        <v>0</v>
      </c>
      <c r="F150" s="131">
        <v>1111</v>
      </c>
      <c r="G150" s="131">
        <v>1134</v>
      </c>
      <c r="H150" s="131">
        <v>1188</v>
      </c>
      <c r="I150" s="131">
        <v>0</v>
      </c>
      <c r="J150" s="131">
        <v>1225</v>
      </c>
      <c r="K150" s="131">
        <v>1423</v>
      </c>
      <c r="L150" s="131">
        <v>1435</v>
      </c>
      <c r="M150" s="131">
        <v>1406</v>
      </c>
      <c r="N150" s="131">
        <v>1432</v>
      </c>
      <c r="O150" s="131">
        <v>1437</v>
      </c>
      <c r="P150" s="131">
        <v>1677</v>
      </c>
      <c r="Q150" s="131">
        <v>1448</v>
      </c>
      <c r="R150" s="131">
        <v>1456</v>
      </c>
      <c r="S150" s="131">
        <v>1470</v>
      </c>
      <c r="T150" s="131">
        <v>1499</v>
      </c>
      <c r="U150" s="131">
        <v>1520</v>
      </c>
      <c r="V150" s="131">
        <v>1562</v>
      </c>
      <c r="W150" s="131">
        <v>1601</v>
      </c>
      <c r="X150" s="131">
        <v>1596</v>
      </c>
      <c r="Y150" s="131">
        <v>1604</v>
      </c>
      <c r="Z150" s="159">
        <v>1604</v>
      </c>
    </row>
    <row r="151" spans="1:26" x14ac:dyDescent="0.2">
      <c r="A151" s="129" t="s">
        <v>33</v>
      </c>
      <c r="B151" s="129">
        <v>2923</v>
      </c>
      <c r="C151" s="129" t="s">
        <v>77</v>
      </c>
      <c r="D151" s="130" t="s">
        <v>754</v>
      </c>
      <c r="E151" s="131">
        <v>12206</v>
      </c>
      <c r="F151" s="131">
        <v>13085</v>
      </c>
      <c r="G151" s="131">
        <v>13689</v>
      </c>
      <c r="H151" s="131">
        <v>14102</v>
      </c>
      <c r="I151" s="131">
        <v>15310</v>
      </c>
      <c r="J151" s="131">
        <v>15839</v>
      </c>
      <c r="K151" s="131">
        <v>17427</v>
      </c>
      <c r="L151" s="131">
        <v>17287</v>
      </c>
      <c r="M151" s="131">
        <v>18139</v>
      </c>
      <c r="N151" s="131">
        <v>18885</v>
      </c>
      <c r="O151" s="131">
        <v>18919</v>
      </c>
      <c r="P151" s="131">
        <v>18704</v>
      </c>
      <c r="Q151" s="131">
        <v>18990</v>
      </c>
      <c r="R151" s="131">
        <v>19492</v>
      </c>
      <c r="S151" s="131">
        <v>19800</v>
      </c>
      <c r="T151" s="131">
        <v>20394</v>
      </c>
      <c r="U151" s="131">
        <v>21061</v>
      </c>
      <c r="V151" s="131">
        <v>21747</v>
      </c>
      <c r="W151" s="131">
        <v>22770</v>
      </c>
      <c r="X151" s="131">
        <v>24186</v>
      </c>
      <c r="Y151" s="131">
        <v>24114</v>
      </c>
      <c r="Z151" s="159">
        <v>24958</v>
      </c>
    </row>
    <row r="152" spans="1:26" x14ac:dyDescent="0.2">
      <c r="A152" s="129" t="s">
        <v>33</v>
      </c>
      <c r="B152" s="129">
        <v>4318</v>
      </c>
      <c r="C152" s="129" t="s">
        <v>825</v>
      </c>
      <c r="D152" s="130" t="s">
        <v>754</v>
      </c>
      <c r="E152" s="131">
        <v>28924</v>
      </c>
      <c r="F152" s="131">
        <v>28926</v>
      </c>
      <c r="G152" s="131">
        <v>29314</v>
      </c>
      <c r="H152" s="131">
        <v>29687</v>
      </c>
      <c r="I152" s="131">
        <v>29752</v>
      </c>
      <c r="J152" s="131">
        <v>0</v>
      </c>
      <c r="K152" s="131">
        <v>29855</v>
      </c>
      <c r="L152" s="131">
        <v>30010</v>
      </c>
      <c r="M152" s="131">
        <v>27597</v>
      </c>
      <c r="N152" s="131">
        <v>27788</v>
      </c>
      <c r="O152" s="131">
        <v>29811</v>
      </c>
      <c r="P152" s="131">
        <v>30562</v>
      </c>
      <c r="Q152" s="131">
        <v>27381</v>
      </c>
      <c r="R152" s="131">
        <v>29881</v>
      </c>
      <c r="S152" s="131">
        <v>30544</v>
      </c>
      <c r="T152" s="131">
        <v>30631</v>
      </c>
      <c r="U152" s="131">
        <v>31002</v>
      </c>
      <c r="V152" s="131">
        <v>31123</v>
      </c>
      <c r="W152" s="131">
        <v>33024</v>
      </c>
      <c r="X152" s="131">
        <v>32792</v>
      </c>
      <c r="Y152" s="131">
        <v>33066</v>
      </c>
      <c r="Z152" s="159">
        <v>33105</v>
      </c>
    </row>
    <row r="153" spans="1:26" x14ac:dyDescent="0.2">
      <c r="A153" s="129" t="s">
        <v>33</v>
      </c>
      <c r="B153" s="129">
        <v>4866</v>
      </c>
      <c r="C153" s="129" t="s">
        <v>4</v>
      </c>
      <c r="D153" s="130" t="s">
        <v>754</v>
      </c>
      <c r="E153" s="131">
        <v>16414</v>
      </c>
      <c r="F153" s="131">
        <v>16936</v>
      </c>
      <c r="G153" s="131">
        <v>16714</v>
      </c>
      <c r="H153" s="131">
        <v>16770</v>
      </c>
      <c r="I153" s="131">
        <v>17215</v>
      </c>
      <c r="J153" s="131">
        <v>17514</v>
      </c>
      <c r="K153" s="131">
        <v>17750</v>
      </c>
      <c r="L153" s="131">
        <v>18154</v>
      </c>
      <c r="M153" s="131">
        <v>18253</v>
      </c>
      <c r="N153" s="131">
        <v>22953</v>
      </c>
      <c r="O153" s="131">
        <v>18195</v>
      </c>
      <c r="P153" s="131">
        <v>18109</v>
      </c>
      <c r="Q153" s="131">
        <v>18420</v>
      </c>
      <c r="R153" s="131">
        <v>18533</v>
      </c>
      <c r="S153" s="131">
        <v>18614</v>
      </c>
      <c r="T153" s="131">
        <v>21450</v>
      </c>
      <c r="U153" s="131">
        <v>20259</v>
      </c>
      <c r="V153" s="131">
        <v>20454</v>
      </c>
      <c r="W153" s="131">
        <v>19687</v>
      </c>
      <c r="X153" s="131">
        <v>19874</v>
      </c>
      <c r="Y153" s="131">
        <v>19953</v>
      </c>
      <c r="Z153" s="159">
        <v>20201</v>
      </c>
    </row>
    <row r="154" spans="1:26" x14ac:dyDescent="0.2">
      <c r="A154" s="129" t="s">
        <v>33</v>
      </c>
      <c r="B154" s="129">
        <v>5393</v>
      </c>
      <c r="C154" s="129" t="s">
        <v>89</v>
      </c>
      <c r="D154" s="130" t="s">
        <v>754</v>
      </c>
      <c r="E154" s="131">
        <v>14047</v>
      </c>
      <c r="F154" s="131">
        <v>14310</v>
      </c>
      <c r="G154" s="131">
        <v>14665</v>
      </c>
      <c r="H154" s="131">
        <v>15276</v>
      </c>
      <c r="I154" s="131">
        <v>16972</v>
      </c>
      <c r="J154" s="131">
        <v>17641</v>
      </c>
      <c r="K154" s="131">
        <v>16900</v>
      </c>
      <c r="L154" s="131">
        <v>17275</v>
      </c>
      <c r="M154" s="131">
        <v>17689</v>
      </c>
      <c r="N154" s="131">
        <v>17697</v>
      </c>
      <c r="O154" s="131">
        <v>17276</v>
      </c>
      <c r="P154" s="131">
        <v>17342</v>
      </c>
      <c r="Q154" s="131">
        <v>17483</v>
      </c>
      <c r="R154" s="131">
        <v>17771</v>
      </c>
      <c r="S154" s="131">
        <v>17841</v>
      </c>
      <c r="T154" s="131">
        <v>14648</v>
      </c>
      <c r="U154" s="131">
        <v>18298</v>
      </c>
      <c r="V154" s="131">
        <v>18290</v>
      </c>
      <c r="W154" s="131">
        <v>18804</v>
      </c>
      <c r="X154" s="131">
        <v>19328</v>
      </c>
      <c r="Y154" s="131">
        <v>19671</v>
      </c>
      <c r="Z154" s="159">
        <v>20076</v>
      </c>
    </row>
    <row r="155" spans="1:26" x14ac:dyDescent="0.2">
      <c r="A155" s="129" t="s">
        <v>33</v>
      </c>
      <c r="B155" s="129">
        <v>5807</v>
      </c>
      <c r="C155" s="129" t="s">
        <v>826</v>
      </c>
      <c r="D155" s="130" t="s">
        <v>754</v>
      </c>
      <c r="E155" s="131">
        <v>988</v>
      </c>
      <c r="F155" s="131">
        <v>988</v>
      </c>
      <c r="G155" s="131">
        <v>988</v>
      </c>
      <c r="H155" s="131">
        <v>988</v>
      </c>
      <c r="I155" s="131">
        <v>988</v>
      </c>
      <c r="J155" s="131">
        <v>988</v>
      </c>
      <c r="K155" s="131">
        <v>988</v>
      </c>
      <c r="L155" s="131">
        <v>988</v>
      </c>
      <c r="M155" s="131">
        <v>988</v>
      </c>
      <c r="N155" s="131">
        <v>0</v>
      </c>
      <c r="O155" s="131">
        <v>988</v>
      </c>
      <c r="P155" s="131">
        <v>879</v>
      </c>
      <c r="Q155" s="131">
        <v>988</v>
      </c>
      <c r="R155" s="131">
        <v>988</v>
      </c>
      <c r="S155" s="131">
        <v>968</v>
      </c>
      <c r="T155" s="131">
        <v>969</v>
      </c>
      <c r="U155" s="131">
        <v>0</v>
      </c>
      <c r="V155" s="131">
        <v>969</v>
      </c>
      <c r="W155" s="131">
        <v>969</v>
      </c>
      <c r="X155" s="131">
        <v>969</v>
      </c>
      <c r="Y155" s="131">
        <v>969</v>
      </c>
      <c r="Z155" s="159">
        <v>969</v>
      </c>
    </row>
    <row r="156" spans="1:26" x14ac:dyDescent="0.2">
      <c r="A156" s="129" t="s">
        <v>33</v>
      </c>
      <c r="B156" s="129">
        <v>7448</v>
      </c>
      <c r="C156" s="129" t="s">
        <v>827</v>
      </c>
      <c r="D156" s="130" t="s">
        <v>754</v>
      </c>
      <c r="E156" s="131">
        <v>0</v>
      </c>
      <c r="F156" s="131">
        <v>0</v>
      </c>
      <c r="G156" s="131">
        <v>0</v>
      </c>
      <c r="H156" s="131">
        <v>0</v>
      </c>
      <c r="I156" s="131">
        <v>0</v>
      </c>
      <c r="J156" s="131">
        <v>0</v>
      </c>
      <c r="K156" s="131">
        <v>0</v>
      </c>
      <c r="L156" s="131">
        <v>1519</v>
      </c>
      <c r="M156" s="131">
        <v>1519</v>
      </c>
      <c r="N156" s="131">
        <v>0</v>
      </c>
      <c r="O156" s="131">
        <v>1519</v>
      </c>
      <c r="P156" s="131">
        <v>1519</v>
      </c>
      <c r="Q156" s="131">
        <v>1519</v>
      </c>
      <c r="R156" s="131">
        <v>1519</v>
      </c>
      <c r="S156" s="131">
        <v>1519</v>
      </c>
      <c r="T156" s="131"/>
      <c r="U156" s="131">
        <v>1519</v>
      </c>
      <c r="V156" s="131">
        <v>1519</v>
      </c>
      <c r="W156" s="131">
        <v>1519</v>
      </c>
      <c r="X156" s="131">
        <v>1519</v>
      </c>
      <c r="Y156" s="131">
        <v>1519</v>
      </c>
      <c r="Z156" s="159">
        <v>1519</v>
      </c>
    </row>
    <row r="157" spans="1:26" x14ac:dyDescent="0.2">
      <c r="A157" s="129" t="s">
        <v>33</v>
      </c>
      <c r="B157" s="129">
        <v>8836</v>
      </c>
      <c r="C157" s="129" t="s">
        <v>828</v>
      </c>
      <c r="D157" s="130" t="s">
        <v>754</v>
      </c>
      <c r="E157" s="131">
        <v>80003</v>
      </c>
      <c r="F157" s="131">
        <v>81174</v>
      </c>
      <c r="G157" s="131">
        <v>83532</v>
      </c>
      <c r="H157" s="131">
        <v>77129</v>
      </c>
      <c r="I157" s="131">
        <v>80343</v>
      </c>
      <c r="J157" s="131">
        <v>80577</v>
      </c>
      <c r="K157" s="131">
        <v>110800</v>
      </c>
      <c r="L157" s="131">
        <v>96639</v>
      </c>
      <c r="M157" s="131">
        <v>97089</v>
      </c>
      <c r="N157" s="131">
        <v>97470</v>
      </c>
      <c r="O157" s="131">
        <v>98518</v>
      </c>
      <c r="P157" s="131">
        <v>99097</v>
      </c>
      <c r="Q157" s="131">
        <v>100732</v>
      </c>
      <c r="R157" s="131">
        <v>105182</v>
      </c>
      <c r="S157" s="131">
        <v>108141</v>
      </c>
      <c r="T157" s="131">
        <v>109244</v>
      </c>
      <c r="U157" s="131">
        <v>110438</v>
      </c>
      <c r="V157" s="131">
        <v>112121</v>
      </c>
      <c r="W157" s="131">
        <v>114366</v>
      </c>
      <c r="X157" s="131">
        <v>117519</v>
      </c>
      <c r="Y157" s="131">
        <v>119241</v>
      </c>
      <c r="Z157" s="159">
        <v>122157</v>
      </c>
    </row>
    <row r="158" spans="1:26" x14ac:dyDescent="0.2">
      <c r="A158" s="129" t="s">
        <v>33</v>
      </c>
      <c r="B158" s="129">
        <v>9638</v>
      </c>
      <c r="C158" s="129" t="s">
        <v>490</v>
      </c>
      <c r="D158" s="130" t="s">
        <v>754</v>
      </c>
      <c r="E158" s="131">
        <v>0</v>
      </c>
      <c r="F158" s="131">
        <v>0</v>
      </c>
      <c r="G158" s="131">
        <v>0</v>
      </c>
      <c r="H158" s="131">
        <v>0</v>
      </c>
      <c r="I158" s="131">
        <v>0</v>
      </c>
      <c r="J158" s="131">
        <v>0</v>
      </c>
      <c r="K158" s="131">
        <v>0</v>
      </c>
      <c r="L158" s="131">
        <v>0</v>
      </c>
      <c r="M158" s="131">
        <v>0</v>
      </c>
      <c r="N158" s="131">
        <v>0</v>
      </c>
      <c r="O158" s="131">
        <v>0</v>
      </c>
      <c r="P158" s="131">
        <v>0</v>
      </c>
      <c r="Q158" s="131">
        <v>0</v>
      </c>
      <c r="R158" s="131">
        <v>0</v>
      </c>
      <c r="S158" s="131">
        <v>0</v>
      </c>
      <c r="T158" s="131"/>
      <c r="U158" s="131" t="s">
        <v>794</v>
      </c>
      <c r="V158" s="131" t="s">
        <v>794</v>
      </c>
      <c r="W158" s="131" t="s">
        <v>794</v>
      </c>
      <c r="X158" s="131" t="s">
        <v>794</v>
      </c>
      <c r="Y158" s="131" t="s">
        <v>794</v>
      </c>
      <c r="Z158" s="159" t="s">
        <v>794</v>
      </c>
    </row>
    <row r="159" spans="1:26" x14ac:dyDescent="0.2">
      <c r="A159" s="132" t="s">
        <v>23</v>
      </c>
      <c r="B159" s="132">
        <v>1368</v>
      </c>
      <c r="C159" s="132" t="s">
        <v>829</v>
      </c>
      <c r="D159" s="133" t="s">
        <v>759</v>
      </c>
      <c r="E159" s="134">
        <v>1650</v>
      </c>
      <c r="F159" s="134">
        <v>1686</v>
      </c>
      <c r="G159" s="134">
        <v>1722</v>
      </c>
      <c r="H159" s="134">
        <v>1752</v>
      </c>
      <c r="I159" s="134">
        <v>1772</v>
      </c>
      <c r="J159" s="134">
        <v>1752</v>
      </c>
      <c r="K159" s="134">
        <v>1876</v>
      </c>
      <c r="L159" s="134">
        <v>0</v>
      </c>
      <c r="M159" s="134">
        <v>1838</v>
      </c>
      <c r="N159" s="134">
        <v>1810</v>
      </c>
      <c r="O159" s="134">
        <v>1825</v>
      </c>
      <c r="P159" s="134">
        <v>1797</v>
      </c>
      <c r="Q159" s="134">
        <v>1764</v>
      </c>
      <c r="R159" s="131">
        <v>1811</v>
      </c>
      <c r="S159" s="131">
        <v>1732</v>
      </c>
      <c r="T159" s="131">
        <v>1800</v>
      </c>
      <c r="U159" s="131">
        <v>1829</v>
      </c>
      <c r="V159" s="131">
        <v>1852</v>
      </c>
      <c r="W159" s="131">
        <v>1886</v>
      </c>
      <c r="X159" s="131">
        <v>1920</v>
      </c>
      <c r="Y159" s="131">
        <v>2144</v>
      </c>
      <c r="Z159" s="159">
        <v>2120</v>
      </c>
    </row>
    <row r="160" spans="1:26" x14ac:dyDescent="0.2">
      <c r="A160" s="129" t="s">
        <v>23</v>
      </c>
      <c r="B160" s="129">
        <v>2622</v>
      </c>
      <c r="C160" s="129" t="s">
        <v>830</v>
      </c>
      <c r="D160" s="130" t="s">
        <v>759</v>
      </c>
      <c r="E160" s="131">
        <v>1073</v>
      </c>
      <c r="F160" s="131">
        <v>1081</v>
      </c>
      <c r="G160" s="131">
        <v>1088</v>
      </c>
      <c r="H160" s="131">
        <v>1097</v>
      </c>
      <c r="I160" s="131">
        <v>0</v>
      </c>
      <c r="J160" s="131">
        <v>0</v>
      </c>
      <c r="K160" s="131">
        <v>0</v>
      </c>
      <c r="L160" s="131">
        <v>0</v>
      </c>
      <c r="M160" s="131">
        <v>0</v>
      </c>
      <c r="N160" s="131">
        <v>955</v>
      </c>
      <c r="O160" s="131">
        <v>960</v>
      </c>
      <c r="P160" s="131">
        <v>963</v>
      </c>
      <c r="Q160" s="131">
        <v>939</v>
      </c>
      <c r="R160" s="131">
        <v>1030</v>
      </c>
      <c r="S160" s="131">
        <v>1030</v>
      </c>
      <c r="T160" s="131">
        <v>1030</v>
      </c>
      <c r="U160" s="131" t="s">
        <v>794</v>
      </c>
      <c r="V160" s="131" t="s">
        <v>794</v>
      </c>
      <c r="W160" s="131" t="s">
        <v>794</v>
      </c>
      <c r="X160" s="131" t="s">
        <v>794</v>
      </c>
      <c r="Y160" s="131" t="e">
        <v>#N/A</v>
      </c>
      <c r="Z160" s="159" t="s">
        <v>794</v>
      </c>
    </row>
    <row r="161" spans="1:26" x14ac:dyDescent="0.2">
      <c r="A161" s="129" t="s">
        <v>23</v>
      </c>
      <c r="B161" s="129">
        <v>6519</v>
      </c>
      <c r="C161" s="129" t="s">
        <v>60</v>
      </c>
      <c r="D161" s="130" t="s">
        <v>759</v>
      </c>
      <c r="E161" s="131">
        <v>722</v>
      </c>
      <c r="F161" s="131">
        <v>732</v>
      </c>
      <c r="G161" s="131">
        <v>750</v>
      </c>
      <c r="H161" s="131">
        <v>759</v>
      </c>
      <c r="I161" s="131">
        <v>0</v>
      </c>
      <c r="J161" s="131">
        <v>794</v>
      </c>
      <c r="K161" s="131">
        <v>801</v>
      </c>
      <c r="L161" s="131">
        <v>0</v>
      </c>
      <c r="M161" s="131">
        <v>812</v>
      </c>
      <c r="N161" s="131">
        <v>1124</v>
      </c>
      <c r="O161" s="131">
        <v>1118</v>
      </c>
      <c r="P161" s="131">
        <v>1116</v>
      </c>
      <c r="Q161" s="131">
        <v>1128</v>
      </c>
      <c r="R161" s="131">
        <v>1140</v>
      </c>
      <c r="S161" s="131">
        <v>1116</v>
      </c>
      <c r="T161" s="131">
        <v>1118</v>
      </c>
      <c r="U161" s="131">
        <v>1138</v>
      </c>
      <c r="V161" s="131">
        <v>1608</v>
      </c>
      <c r="W161" s="131">
        <v>1612</v>
      </c>
      <c r="X161" s="131">
        <v>1613</v>
      </c>
      <c r="Y161" s="131">
        <v>1626</v>
      </c>
      <c r="Z161" s="159">
        <v>1636</v>
      </c>
    </row>
    <row r="162" spans="1:26" x14ac:dyDescent="0.2">
      <c r="A162" s="129" t="s">
        <v>23</v>
      </c>
      <c r="B162" s="129">
        <v>7185</v>
      </c>
      <c r="C162" s="129" t="s">
        <v>91</v>
      </c>
      <c r="D162" s="130" t="s">
        <v>759</v>
      </c>
      <c r="E162" s="131">
        <v>0</v>
      </c>
      <c r="F162" s="131">
        <v>0</v>
      </c>
      <c r="G162" s="131">
        <v>0</v>
      </c>
      <c r="H162" s="131">
        <v>0</v>
      </c>
      <c r="I162" s="131">
        <v>0</v>
      </c>
      <c r="J162" s="131">
        <v>0</v>
      </c>
      <c r="K162" s="131">
        <v>0</v>
      </c>
      <c r="L162" s="131">
        <v>0</v>
      </c>
      <c r="M162" s="131">
        <v>0</v>
      </c>
      <c r="N162" s="131">
        <v>0</v>
      </c>
      <c r="O162" s="131">
        <v>382</v>
      </c>
      <c r="P162" s="131">
        <v>382</v>
      </c>
      <c r="Q162" s="131">
        <v>382</v>
      </c>
      <c r="R162" s="131">
        <v>349</v>
      </c>
      <c r="S162" s="131">
        <v>328</v>
      </c>
      <c r="T162" s="131">
        <v>513</v>
      </c>
      <c r="U162" s="131">
        <v>513</v>
      </c>
      <c r="V162" s="131">
        <v>410</v>
      </c>
      <c r="W162" s="131">
        <v>345</v>
      </c>
      <c r="X162" s="131">
        <v>339</v>
      </c>
      <c r="Y162" s="131">
        <v>326</v>
      </c>
      <c r="Z162" s="159">
        <v>400</v>
      </c>
    </row>
    <row r="163" spans="1:26" x14ac:dyDescent="0.2">
      <c r="A163" s="129" t="s">
        <v>23</v>
      </c>
      <c r="B163" s="129">
        <v>7799</v>
      </c>
      <c r="C163" s="129" t="s">
        <v>831</v>
      </c>
      <c r="D163" s="130" t="s">
        <v>759</v>
      </c>
      <c r="E163" s="131">
        <v>0</v>
      </c>
      <c r="F163" s="131">
        <v>0</v>
      </c>
      <c r="G163" s="131">
        <v>0</v>
      </c>
      <c r="H163" s="131">
        <v>0</v>
      </c>
      <c r="I163" s="131">
        <v>0</v>
      </c>
      <c r="J163" s="131">
        <v>0</v>
      </c>
      <c r="K163" s="131">
        <v>0</v>
      </c>
      <c r="L163" s="131">
        <v>0</v>
      </c>
      <c r="M163" s="131">
        <v>0</v>
      </c>
      <c r="N163" s="131">
        <v>0</v>
      </c>
      <c r="O163" s="131">
        <v>0</v>
      </c>
      <c r="P163" s="131">
        <v>335</v>
      </c>
      <c r="Q163" s="131">
        <v>0</v>
      </c>
      <c r="R163" s="131"/>
      <c r="S163" s="131"/>
      <c r="T163" s="131"/>
      <c r="U163" s="131" t="s">
        <v>794</v>
      </c>
      <c r="V163" s="131" t="s">
        <v>794</v>
      </c>
      <c r="W163" s="131" t="s">
        <v>794</v>
      </c>
      <c r="X163" s="131" t="s">
        <v>794</v>
      </c>
      <c r="Y163" s="131" t="s">
        <v>794</v>
      </c>
      <c r="Z163" s="159" t="s">
        <v>794</v>
      </c>
    </row>
    <row r="164" spans="1:26" x14ac:dyDescent="0.2">
      <c r="A164" s="129" t="s">
        <v>23</v>
      </c>
      <c r="B164" s="129">
        <v>8135</v>
      </c>
      <c r="C164" s="129" t="s">
        <v>832</v>
      </c>
      <c r="D164" s="130" t="s">
        <v>759</v>
      </c>
      <c r="E164" s="131">
        <v>2023</v>
      </c>
      <c r="F164" s="131">
        <v>2301</v>
      </c>
      <c r="G164" s="131">
        <v>2301</v>
      </c>
      <c r="H164" s="131">
        <v>2301</v>
      </c>
      <c r="I164" s="131">
        <v>2414</v>
      </c>
      <c r="J164" s="131">
        <v>2284</v>
      </c>
      <c r="K164" s="131">
        <v>2797</v>
      </c>
      <c r="L164" s="131">
        <v>2893</v>
      </c>
      <c r="M164" s="131">
        <v>2839</v>
      </c>
      <c r="N164" s="131">
        <v>3046</v>
      </c>
      <c r="O164" s="131">
        <v>3541</v>
      </c>
      <c r="P164" s="131">
        <v>3819</v>
      </c>
      <c r="Q164" s="131">
        <v>3501</v>
      </c>
      <c r="R164" s="131">
        <v>3965</v>
      </c>
      <c r="S164" s="131">
        <v>4223</v>
      </c>
      <c r="T164" s="131">
        <v>4549</v>
      </c>
      <c r="U164" s="131">
        <v>5643</v>
      </c>
      <c r="V164" s="131">
        <v>5238</v>
      </c>
      <c r="W164" s="131">
        <v>6672</v>
      </c>
      <c r="X164" s="131">
        <v>5829</v>
      </c>
      <c r="Y164" s="131">
        <v>5259</v>
      </c>
      <c r="Z164" s="159">
        <v>4339</v>
      </c>
    </row>
    <row r="165" spans="1:26" x14ac:dyDescent="0.2">
      <c r="A165" s="129" t="s">
        <v>23</v>
      </c>
      <c r="B165" s="129">
        <v>8193</v>
      </c>
      <c r="C165" s="129" t="s">
        <v>61</v>
      </c>
      <c r="D165" s="130" t="s">
        <v>759</v>
      </c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>
        <v>368</v>
      </c>
      <c r="S165" s="131">
        <v>362</v>
      </c>
      <c r="T165" s="131">
        <v>327</v>
      </c>
      <c r="U165" s="131">
        <v>339</v>
      </c>
      <c r="V165" s="131">
        <v>340</v>
      </c>
      <c r="W165" s="131">
        <v>375</v>
      </c>
      <c r="X165" s="131">
        <v>375</v>
      </c>
      <c r="Y165" s="131">
        <v>376</v>
      </c>
      <c r="Z165" s="159">
        <v>373</v>
      </c>
    </row>
    <row r="166" spans="1:26" x14ac:dyDescent="0.2">
      <c r="A166" s="129" t="s">
        <v>23</v>
      </c>
      <c r="B166" s="129">
        <v>12584</v>
      </c>
      <c r="C166" s="129" t="s">
        <v>919</v>
      </c>
      <c r="D166" s="130" t="s">
        <v>759</v>
      </c>
      <c r="E166" s="131">
        <v>0</v>
      </c>
      <c r="F166" s="131">
        <v>0</v>
      </c>
      <c r="G166" s="131">
        <v>0</v>
      </c>
      <c r="H166" s="131">
        <v>0</v>
      </c>
      <c r="I166" s="131">
        <v>0</v>
      </c>
      <c r="J166" s="131">
        <v>0</v>
      </c>
      <c r="K166" s="131">
        <v>0</v>
      </c>
      <c r="L166" s="131">
        <v>0</v>
      </c>
      <c r="M166" s="131">
        <v>0</v>
      </c>
      <c r="N166" s="131">
        <v>0</v>
      </c>
      <c r="O166" s="131">
        <v>0</v>
      </c>
      <c r="P166" s="131">
        <v>0</v>
      </c>
      <c r="Q166" s="131">
        <v>0</v>
      </c>
      <c r="R166" s="131">
        <v>0</v>
      </c>
      <c r="S166" s="131">
        <v>0</v>
      </c>
      <c r="T166" s="131">
        <v>0</v>
      </c>
      <c r="U166" s="131">
        <v>0</v>
      </c>
      <c r="V166" s="131">
        <v>0</v>
      </c>
      <c r="W166" s="131" t="s">
        <v>794</v>
      </c>
      <c r="X166" s="131" t="s">
        <v>794</v>
      </c>
      <c r="Y166" s="131">
        <v>31</v>
      </c>
      <c r="Z166" s="159">
        <v>41</v>
      </c>
    </row>
    <row r="167" spans="1:26" x14ac:dyDescent="0.2">
      <c r="A167" s="129" t="s">
        <v>23</v>
      </c>
      <c r="B167" s="129">
        <v>13005</v>
      </c>
      <c r="C167" s="129" t="s">
        <v>833</v>
      </c>
      <c r="D167" s="130" t="s">
        <v>759</v>
      </c>
      <c r="E167" s="131">
        <v>0</v>
      </c>
      <c r="F167" s="131">
        <v>0</v>
      </c>
      <c r="G167" s="131">
        <v>0</v>
      </c>
      <c r="H167" s="131">
        <v>0</v>
      </c>
      <c r="I167" s="131">
        <v>0</v>
      </c>
      <c r="J167" s="131">
        <v>17669</v>
      </c>
      <c r="K167" s="131">
        <v>21785</v>
      </c>
      <c r="L167" s="131">
        <v>24946</v>
      </c>
      <c r="M167" s="131">
        <v>27244</v>
      </c>
      <c r="N167" s="131">
        <v>29342</v>
      </c>
      <c r="O167" s="131">
        <v>31534</v>
      </c>
      <c r="P167" s="131">
        <v>33941</v>
      </c>
      <c r="Q167" s="131">
        <v>36416</v>
      </c>
      <c r="R167" s="131">
        <v>39560</v>
      </c>
      <c r="S167" s="131">
        <v>42688</v>
      </c>
      <c r="T167" s="131">
        <v>45057</v>
      </c>
      <c r="U167" s="131">
        <v>47074</v>
      </c>
      <c r="V167" s="131">
        <v>48787</v>
      </c>
      <c r="W167" s="131">
        <v>49636</v>
      </c>
      <c r="X167" s="131">
        <v>49835</v>
      </c>
      <c r="Y167" s="131">
        <v>49931</v>
      </c>
      <c r="Z167" s="159">
        <v>49926</v>
      </c>
    </row>
    <row r="168" spans="1:26" x14ac:dyDescent="0.2">
      <c r="A168" s="129" t="s">
        <v>23</v>
      </c>
      <c r="B168" s="129">
        <v>13123</v>
      </c>
      <c r="C168" s="129" t="s">
        <v>834</v>
      </c>
      <c r="D168" s="130" t="s">
        <v>759</v>
      </c>
      <c r="E168" s="131">
        <v>0</v>
      </c>
      <c r="F168" s="131">
        <v>0</v>
      </c>
      <c r="G168" s="131">
        <v>0</v>
      </c>
      <c r="H168" s="131">
        <v>0</v>
      </c>
      <c r="I168" s="131">
        <v>0</v>
      </c>
      <c r="J168" s="131">
        <v>0</v>
      </c>
      <c r="K168" s="131">
        <v>0</v>
      </c>
      <c r="L168" s="131">
        <v>0</v>
      </c>
      <c r="M168" s="131">
        <v>0</v>
      </c>
      <c r="N168" s="131">
        <v>0</v>
      </c>
      <c r="O168" s="131">
        <v>0</v>
      </c>
      <c r="P168" s="131">
        <v>0</v>
      </c>
      <c r="Q168" s="131">
        <v>0</v>
      </c>
      <c r="R168" s="131"/>
      <c r="S168" s="131"/>
      <c r="T168" s="131"/>
      <c r="U168" s="131" t="s">
        <v>794</v>
      </c>
      <c r="V168" s="131" t="s">
        <v>794</v>
      </c>
      <c r="W168" s="131" t="s">
        <v>794</v>
      </c>
      <c r="X168" s="131" t="s">
        <v>794</v>
      </c>
      <c r="Y168" s="131" t="s">
        <v>794</v>
      </c>
      <c r="Z168" s="159" t="s">
        <v>794</v>
      </c>
    </row>
    <row r="169" spans="1:26" x14ac:dyDescent="0.2">
      <c r="A169" s="129" t="s">
        <v>23</v>
      </c>
      <c r="B169" s="164">
        <v>20597</v>
      </c>
      <c r="C169" s="164" t="s">
        <v>912</v>
      </c>
      <c r="D169" s="130" t="s">
        <v>759</v>
      </c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 t="s">
        <v>794</v>
      </c>
      <c r="S169" s="131" t="s">
        <v>794</v>
      </c>
      <c r="T169" s="131" t="s">
        <v>794</v>
      </c>
      <c r="U169" s="131">
        <v>1076</v>
      </c>
      <c r="V169" s="131">
        <v>1076</v>
      </c>
      <c r="W169" s="131">
        <v>939</v>
      </c>
      <c r="X169" s="131">
        <v>939</v>
      </c>
      <c r="Y169" s="131">
        <v>932</v>
      </c>
      <c r="Z169" s="159">
        <v>932</v>
      </c>
    </row>
    <row r="170" spans="1:26" x14ac:dyDescent="0.2">
      <c r="A170" s="129" t="s">
        <v>23</v>
      </c>
      <c r="B170" s="112">
        <v>20721</v>
      </c>
      <c r="C170" s="112" t="s">
        <v>931</v>
      </c>
      <c r="D170" s="130" t="s">
        <v>759</v>
      </c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 t="s">
        <v>794</v>
      </c>
      <c r="V170" s="131" t="s">
        <v>794</v>
      </c>
      <c r="W170" s="131" t="s">
        <v>794</v>
      </c>
      <c r="X170" s="131">
        <v>915</v>
      </c>
      <c r="Y170" s="131">
        <v>4009</v>
      </c>
      <c r="Z170" s="159">
        <v>7938</v>
      </c>
    </row>
    <row r="187" spans="17:17" x14ac:dyDescent="0.2">
      <c r="Q187"/>
    </row>
    <row r="188" spans="17:17" x14ac:dyDescent="0.2">
      <c r="Q188"/>
    </row>
    <row r="189" spans="17:17" x14ac:dyDescent="0.2">
      <c r="Q189"/>
    </row>
    <row r="190" spans="17:17" x14ac:dyDescent="0.2">
      <c r="Q190"/>
    </row>
    <row r="191" spans="17:17" x14ac:dyDescent="0.2">
      <c r="Q191"/>
    </row>
    <row r="192" spans="17:17" x14ac:dyDescent="0.2">
      <c r="Q192"/>
    </row>
    <row r="193" spans="17:17" x14ac:dyDescent="0.2">
      <c r="Q193"/>
    </row>
    <row r="194" spans="17:17" x14ac:dyDescent="0.2">
      <c r="Q194"/>
    </row>
    <row r="195" spans="17:17" x14ac:dyDescent="0.2">
      <c r="Q195"/>
    </row>
    <row r="196" spans="17:17" x14ac:dyDescent="0.2">
      <c r="Q196"/>
    </row>
    <row r="197" spans="17:17" x14ac:dyDescent="0.2">
      <c r="Q197"/>
    </row>
    <row r="198" spans="17:17" x14ac:dyDescent="0.2">
      <c r="Q198"/>
    </row>
    <row r="199" spans="17:17" x14ac:dyDescent="0.2">
      <c r="Q199"/>
    </row>
    <row r="200" spans="17:17" x14ac:dyDescent="0.2">
      <c r="Q200"/>
    </row>
    <row r="201" spans="17:17" x14ac:dyDescent="0.2">
      <c r="Q201"/>
    </row>
    <row r="202" spans="17:17" x14ac:dyDescent="0.2">
      <c r="Q202"/>
    </row>
    <row r="203" spans="17:17" x14ac:dyDescent="0.2">
      <c r="Q203"/>
    </row>
    <row r="204" spans="17:17" x14ac:dyDescent="0.2">
      <c r="Q204"/>
    </row>
    <row r="205" spans="17:17" x14ac:dyDescent="0.2">
      <c r="Q205"/>
    </row>
    <row r="206" spans="17:17" x14ac:dyDescent="0.2">
      <c r="Q206"/>
    </row>
    <row r="207" spans="17:17" x14ac:dyDescent="0.2">
      <c r="Q207"/>
    </row>
    <row r="208" spans="17:17" x14ac:dyDescent="0.2">
      <c r="Q208"/>
    </row>
    <row r="209" spans="17:17" x14ac:dyDescent="0.2">
      <c r="Q209"/>
    </row>
    <row r="210" spans="17:17" x14ac:dyDescent="0.2">
      <c r="Q210"/>
    </row>
    <row r="211" spans="17:17" x14ac:dyDescent="0.2">
      <c r="Q211"/>
    </row>
    <row r="212" spans="17:17" x14ac:dyDescent="0.2">
      <c r="Q212"/>
    </row>
    <row r="213" spans="17:17" x14ac:dyDescent="0.2">
      <c r="Q213"/>
    </row>
    <row r="214" spans="17:17" x14ac:dyDescent="0.2">
      <c r="Q214"/>
    </row>
    <row r="215" spans="17:17" x14ac:dyDescent="0.2">
      <c r="Q215"/>
    </row>
    <row r="216" spans="17:17" x14ac:dyDescent="0.2">
      <c r="Q216"/>
    </row>
    <row r="217" spans="17:17" x14ac:dyDescent="0.2">
      <c r="Q217"/>
    </row>
    <row r="218" spans="17:17" x14ac:dyDescent="0.2">
      <c r="Q218"/>
    </row>
    <row r="219" spans="17:17" x14ac:dyDescent="0.2">
      <c r="Q219"/>
    </row>
    <row r="220" spans="17:17" x14ac:dyDescent="0.2">
      <c r="Q220"/>
    </row>
    <row r="221" spans="17:17" x14ac:dyDescent="0.2">
      <c r="Q221"/>
    </row>
    <row r="222" spans="17:17" x14ac:dyDescent="0.2">
      <c r="Q222"/>
    </row>
    <row r="223" spans="17:17" x14ac:dyDescent="0.2">
      <c r="Q223"/>
    </row>
    <row r="224" spans="17:17" x14ac:dyDescent="0.2">
      <c r="Q224"/>
    </row>
    <row r="225" spans="17:17" x14ac:dyDescent="0.2">
      <c r="Q225"/>
    </row>
    <row r="226" spans="17:17" x14ac:dyDescent="0.2">
      <c r="Q226"/>
    </row>
    <row r="227" spans="17:17" x14ac:dyDescent="0.2">
      <c r="Q227"/>
    </row>
    <row r="228" spans="17:17" x14ac:dyDescent="0.2">
      <c r="Q228"/>
    </row>
    <row r="229" spans="17:17" x14ac:dyDescent="0.2">
      <c r="Q229"/>
    </row>
    <row r="230" spans="17:17" x14ac:dyDescent="0.2">
      <c r="Q230"/>
    </row>
    <row r="231" spans="17:17" x14ac:dyDescent="0.2">
      <c r="Q231"/>
    </row>
    <row r="232" spans="17:17" x14ac:dyDescent="0.2">
      <c r="Q232"/>
    </row>
    <row r="233" spans="17:17" x14ac:dyDescent="0.2">
      <c r="Q233"/>
    </row>
    <row r="234" spans="17:17" x14ac:dyDescent="0.2">
      <c r="Q234"/>
    </row>
    <row r="235" spans="17:17" x14ac:dyDescent="0.2">
      <c r="Q235"/>
    </row>
    <row r="236" spans="17:17" x14ac:dyDescent="0.2">
      <c r="Q236"/>
    </row>
    <row r="237" spans="17:17" x14ac:dyDescent="0.2">
      <c r="Q237"/>
    </row>
    <row r="238" spans="17:17" x14ac:dyDescent="0.2">
      <c r="Q238"/>
    </row>
    <row r="239" spans="17:17" x14ac:dyDescent="0.2">
      <c r="Q239"/>
    </row>
    <row r="240" spans="17:17" x14ac:dyDescent="0.2">
      <c r="Q240"/>
    </row>
    <row r="241" spans="17:17" x14ac:dyDescent="0.2">
      <c r="Q241"/>
    </row>
    <row r="242" spans="17:17" x14ac:dyDescent="0.2">
      <c r="Q242"/>
    </row>
    <row r="243" spans="17:17" x14ac:dyDescent="0.2">
      <c r="Q243"/>
    </row>
    <row r="244" spans="17:17" x14ac:dyDescent="0.2">
      <c r="Q244"/>
    </row>
    <row r="245" spans="17:17" x14ac:dyDescent="0.2">
      <c r="Q245"/>
    </row>
    <row r="246" spans="17:17" x14ac:dyDescent="0.2">
      <c r="Q246"/>
    </row>
    <row r="247" spans="17:17" x14ac:dyDescent="0.2">
      <c r="Q247"/>
    </row>
    <row r="248" spans="17:17" x14ac:dyDescent="0.2">
      <c r="Q248"/>
    </row>
    <row r="249" spans="17:17" x14ac:dyDescent="0.2">
      <c r="Q249"/>
    </row>
    <row r="250" spans="17:17" x14ac:dyDescent="0.2">
      <c r="Q250"/>
    </row>
    <row r="251" spans="17:17" x14ac:dyDescent="0.2">
      <c r="Q251"/>
    </row>
    <row r="252" spans="17:17" x14ac:dyDescent="0.2">
      <c r="Q252"/>
    </row>
    <row r="253" spans="17:17" x14ac:dyDescent="0.2">
      <c r="Q253"/>
    </row>
    <row r="254" spans="17:17" x14ac:dyDescent="0.2">
      <c r="Q254"/>
    </row>
    <row r="255" spans="17:17" x14ac:dyDescent="0.2">
      <c r="Q255"/>
    </row>
    <row r="256" spans="17:17" x14ac:dyDescent="0.2">
      <c r="Q256"/>
    </row>
    <row r="257" spans="17:17" x14ac:dyDescent="0.2">
      <c r="Q257"/>
    </row>
    <row r="258" spans="17:17" x14ac:dyDescent="0.2">
      <c r="Q258"/>
    </row>
    <row r="259" spans="17:17" x14ac:dyDescent="0.2">
      <c r="Q259"/>
    </row>
    <row r="260" spans="17:17" x14ac:dyDescent="0.2">
      <c r="Q260"/>
    </row>
    <row r="261" spans="17:17" x14ac:dyDescent="0.2">
      <c r="Q261"/>
    </row>
    <row r="262" spans="17:17" x14ac:dyDescent="0.2">
      <c r="Q262"/>
    </row>
    <row r="263" spans="17:17" x14ac:dyDescent="0.2">
      <c r="Q263"/>
    </row>
    <row r="264" spans="17:17" x14ac:dyDescent="0.2">
      <c r="Q264"/>
    </row>
    <row r="265" spans="17:17" x14ac:dyDescent="0.2">
      <c r="Q265"/>
    </row>
    <row r="266" spans="17:17" x14ac:dyDescent="0.2">
      <c r="Q266"/>
    </row>
    <row r="267" spans="17:17" x14ac:dyDescent="0.2">
      <c r="Q267"/>
    </row>
    <row r="268" spans="17:17" x14ac:dyDescent="0.2">
      <c r="Q268"/>
    </row>
    <row r="269" spans="17:17" x14ac:dyDescent="0.2">
      <c r="Q269"/>
    </row>
    <row r="270" spans="17:17" x14ac:dyDescent="0.2">
      <c r="Q270"/>
    </row>
    <row r="271" spans="17:17" x14ac:dyDescent="0.2">
      <c r="Q271"/>
    </row>
    <row r="272" spans="17:17" x14ac:dyDescent="0.2">
      <c r="Q272"/>
    </row>
    <row r="273" spans="17:17" x14ac:dyDescent="0.2">
      <c r="Q273"/>
    </row>
    <row r="274" spans="17:17" x14ac:dyDescent="0.2">
      <c r="Q274"/>
    </row>
    <row r="275" spans="17:17" x14ac:dyDescent="0.2">
      <c r="Q275"/>
    </row>
    <row r="276" spans="17:17" x14ac:dyDescent="0.2">
      <c r="Q276"/>
    </row>
    <row r="277" spans="17:17" x14ac:dyDescent="0.2">
      <c r="Q277"/>
    </row>
    <row r="278" spans="17:17" x14ac:dyDescent="0.2">
      <c r="Q278"/>
    </row>
    <row r="279" spans="17:17" x14ac:dyDescent="0.2">
      <c r="Q279"/>
    </row>
    <row r="280" spans="17:17" x14ac:dyDescent="0.2">
      <c r="Q280"/>
    </row>
    <row r="281" spans="17:17" x14ac:dyDescent="0.2">
      <c r="Q281"/>
    </row>
    <row r="282" spans="17:17" x14ac:dyDescent="0.2">
      <c r="Q282"/>
    </row>
    <row r="283" spans="17:17" x14ac:dyDescent="0.2">
      <c r="Q283"/>
    </row>
    <row r="284" spans="17:17" x14ac:dyDescent="0.2">
      <c r="Q284"/>
    </row>
    <row r="285" spans="17:17" x14ac:dyDescent="0.2">
      <c r="Q285"/>
    </row>
    <row r="286" spans="17:17" x14ac:dyDescent="0.2">
      <c r="Q286"/>
    </row>
    <row r="287" spans="17:17" x14ac:dyDescent="0.2">
      <c r="Q287"/>
    </row>
    <row r="288" spans="17:17" x14ac:dyDescent="0.2">
      <c r="Q288"/>
    </row>
    <row r="289" spans="17:17" x14ac:dyDescent="0.2">
      <c r="Q289"/>
    </row>
    <row r="290" spans="17:17" x14ac:dyDescent="0.2">
      <c r="Q290"/>
    </row>
    <row r="291" spans="17:17" x14ac:dyDescent="0.2">
      <c r="Q291"/>
    </row>
    <row r="292" spans="17:17" x14ac:dyDescent="0.2">
      <c r="Q292"/>
    </row>
    <row r="293" spans="17:17" x14ac:dyDescent="0.2">
      <c r="Q293"/>
    </row>
    <row r="294" spans="17:17" x14ac:dyDescent="0.2">
      <c r="Q294"/>
    </row>
    <row r="295" spans="17:17" x14ac:dyDescent="0.2">
      <c r="Q295"/>
    </row>
    <row r="296" spans="17:17" x14ac:dyDescent="0.2">
      <c r="Q296"/>
    </row>
    <row r="297" spans="17:17" x14ac:dyDescent="0.2">
      <c r="Q297"/>
    </row>
    <row r="298" spans="17:17" x14ac:dyDescent="0.2">
      <c r="Q298"/>
    </row>
    <row r="299" spans="17:17" x14ac:dyDescent="0.2">
      <c r="Q299"/>
    </row>
    <row r="300" spans="17:17" x14ac:dyDescent="0.2">
      <c r="Q300"/>
    </row>
    <row r="301" spans="17:17" x14ac:dyDescent="0.2">
      <c r="Q301"/>
    </row>
    <row r="302" spans="17:17" x14ac:dyDescent="0.2">
      <c r="Q302"/>
    </row>
    <row r="303" spans="17:17" x14ac:dyDescent="0.2">
      <c r="Q303"/>
    </row>
    <row r="304" spans="17:17" x14ac:dyDescent="0.2">
      <c r="Q304"/>
    </row>
    <row r="305" spans="17:17" x14ac:dyDescent="0.2">
      <c r="Q305"/>
    </row>
    <row r="306" spans="17:17" x14ac:dyDescent="0.2">
      <c r="Q306"/>
    </row>
    <row r="307" spans="17:17" x14ac:dyDescent="0.2">
      <c r="Q307"/>
    </row>
    <row r="308" spans="17:17" x14ac:dyDescent="0.2">
      <c r="Q308"/>
    </row>
    <row r="309" spans="17:17" x14ac:dyDescent="0.2">
      <c r="Q309"/>
    </row>
    <row r="310" spans="17:17" x14ac:dyDescent="0.2">
      <c r="Q310"/>
    </row>
    <row r="311" spans="17:17" x14ac:dyDescent="0.2">
      <c r="Q311"/>
    </row>
    <row r="312" spans="17:17" x14ac:dyDescent="0.2">
      <c r="Q312"/>
    </row>
    <row r="313" spans="17:17" x14ac:dyDescent="0.2">
      <c r="Q313"/>
    </row>
    <row r="314" spans="17:17" x14ac:dyDescent="0.2">
      <c r="Q314"/>
    </row>
    <row r="315" spans="17:17" x14ac:dyDescent="0.2">
      <c r="Q315"/>
    </row>
    <row r="316" spans="17:17" x14ac:dyDescent="0.2">
      <c r="Q316"/>
    </row>
    <row r="317" spans="17:17" x14ac:dyDescent="0.2">
      <c r="Q317"/>
    </row>
    <row r="318" spans="17:17" x14ac:dyDescent="0.2">
      <c r="Q318"/>
    </row>
    <row r="319" spans="17:17" x14ac:dyDescent="0.2">
      <c r="Q319"/>
    </row>
    <row r="320" spans="17:17" x14ac:dyDescent="0.2">
      <c r="Q320"/>
    </row>
    <row r="321" spans="17:17" x14ac:dyDescent="0.2">
      <c r="Q321"/>
    </row>
    <row r="322" spans="17:17" x14ac:dyDescent="0.2">
      <c r="Q322"/>
    </row>
    <row r="323" spans="17:17" x14ac:dyDescent="0.2">
      <c r="Q323"/>
    </row>
    <row r="324" spans="17:17" x14ac:dyDescent="0.2">
      <c r="Q324"/>
    </row>
    <row r="325" spans="17:17" x14ac:dyDescent="0.2">
      <c r="Q325"/>
    </row>
    <row r="326" spans="17:17" x14ac:dyDescent="0.2">
      <c r="Q326"/>
    </row>
    <row r="327" spans="17:17" x14ac:dyDescent="0.2">
      <c r="Q327"/>
    </row>
    <row r="328" spans="17:17" x14ac:dyDescent="0.2">
      <c r="Q328"/>
    </row>
    <row r="329" spans="17:17" x14ac:dyDescent="0.2">
      <c r="Q329"/>
    </row>
    <row r="330" spans="17:17" x14ac:dyDescent="0.2">
      <c r="Q330"/>
    </row>
  </sheetData>
  <autoFilter ref="A4:Y170" xr:uid="{DAB4A5BD-B63A-4730-9B95-F4DA5639CDB1}">
    <sortState xmlns:xlrd2="http://schemas.microsoft.com/office/spreadsheetml/2017/richdata2" ref="A5:Y168">
      <sortCondition ref="A4"/>
    </sortState>
  </autoFilter>
  <conditionalFormatting sqref="U5:U18 U46:U58 U60:U124 U126:W157 U20:U23 U25:U44 Y126:Y144 Y146 Y148 Y150:Y162 Y164:Y166">
    <cfRule type="expression" dxfId="37" priority="30" stopIfTrue="1">
      <formula>MOD(ROW(),2)=0</formula>
    </cfRule>
  </conditionalFormatting>
  <conditionalFormatting sqref="A170:C170 E170:Q170">
    <cfRule type="expression" dxfId="36" priority="27" stopIfTrue="1">
      <formula>MOD(ROW(),2)=0</formula>
    </cfRule>
  </conditionalFormatting>
  <conditionalFormatting sqref="U170">
    <cfRule type="expression" dxfId="35" priority="23" stopIfTrue="1">
      <formula>MOD(ROW(),2)=0</formula>
    </cfRule>
  </conditionalFormatting>
  <conditionalFormatting sqref="A4:R4">
    <cfRule type="expression" dxfId="34" priority="37" stopIfTrue="1">
      <formula>MOD(ROW(),2)=0</formula>
    </cfRule>
  </conditionalFormatting>
  <conditionalFormatting sqref="T5:T18 T46:T58 T60:T124 T126:T157 A126:Q165 A166:W166 A167:Q168 A169 D169:Q169 A5:Q18 T20:T23 A20:Q23 T25:T44 A24:X24 A19:X19 A25:Q124 D170 Y167">
    <cfRule type="expression" dxfId="33" priority="36" stopIfTrue="1">
      <formula>MOD(ROW(),2)=0</formula>
    </cfRule>
  </conditionalFormatting>
  <conditionalFormatting sqref="R5:R18 R126:R165 R167:R169 R20:R23 R25:R124">
    <cfRule type="expression" dxfId="32" priority="35" stopIfTrue="1">
      <formula>MOD(ROW(),2)=0</formula>
    </cfRule>
  </conditionalFormatting>
  <conditionalFormatting sqref="S4">
    <cfRule type="expression" dxfId="31" priority="34" stopIfTrue="1">
      <formula>MOD(ROW(),2)=0</formula>
    </cfRule>
  </conditionalFormatting>
  <conditionalFormatting sqref="S5:S18 S126:S165 S167:S169 S20:S23 S25:S124">
    <cfRule type="expression" dxfId="30" priority="33" stopIfTrue="1">
      <formula>MOD(ROW(),2)=0</formula>
    </cfRule>
  </conditionalFormatting>
  <conditionalFormatting sqref="T158:T165 T167:T169">
    <cfRule type="expression" dxfId="29" priority="31" stopIfTrue="1">
      <formula>MOD(ROW(),2)=0</formula>
    </cfRule>
  </conditionalFormatting>
  <conditionalFormatting sqref="T4">
    <cfRule type="expression" dxfId="28" priority="32" stopIfTrue="1">
      <formula>MOD(ROW(),2)=0</formula>
    </cfRule>
  </conditionalFormatting>
  <conditionalFormatting sqref="U158:U165 U167:U169">
    <cfRule type="expression" dxfId="27" priority="28" stopIfTrue="1">
      <formula>MOD(ROW(),2)=0</formula>
    </cfRule>
  </conditionalFormatting>
  <conditionalFormatting sqref="U4">
    <cfRule type="expression" dxfId="26" priority="29" stopIfTrue="1">
      <formula>MOD(ROW(),2)=0</formula>
    </cfRule>
  </conditionalFormatting>
  <conditionalFormatting sqref="R170">
    <cfRule type="expression" dxfId="25" priority="26" stopIfTrue="1">
      <formula>MOD(ROW(),2)=0</formula>
    </cfRule>
  </conditionalFormatting>
  <conditionalFormatting sqref="S170">
    <cfRule type="expression" dxfId="24" priority="25" stopIfTrue="1">
      <formula>MOD(ROW(),2)=0</formula>
    </cfRule>
  </conditionalFormatting>
  <conditionalFormatting sqref="T170">
    <cfRule type="expression" dxfId="23" priority="24" stopIfTrue="1">
      <formula>MOD(ROW(),2)=0</formula>
    </cfRule>
  </conditionalFormatting>
  <conditionalFormatting sqref="V5:W18 V46:W58 V60:W124 V20:W23 V25:W44 Y60:Y71 Y46:Y50 Y5:Z5 Y32:Y33 Y35:Y41 Y54 Y56:Y58 Y73 Y75:Y77 Y79 Y82:Y84 Y86:Y88 Y91 Y93 Y95:Y97 Y99:Y105 Y107:Y114 Y116:Y124 Y6:Y29 Z6:Z170">
    <cfRule type="expression" dxfId="22" priority="22" stopIfTrue="1">
      <formula>MOD(ROW(),2)=0</formula>
    </cfRule>
  </conditionalFormatting>
  <conditionalFormatting sqref="V170:W170 Y170">
    <cfRule type="expression" dxfId="21" priority="19" stopIfTrue="1">
      <formula>MOD(ROW(),2)=0</formula>
    </cfRule>
  </conditionalFormatting>
  <conditionalFormatting sqref="V158:W165 V167:W169 Y169">
    <cfRule type="expression" dxfId="20" priority="20" stopIfTrue="1">
      <formula>MOD(ROW(),2)=0</formula>
    </cfRule>
  </conditionalFormatting>
  <conditionalFormatting sqref="V4:Z4">
    <cfRule type="expression" dxfId="19" priority="21" stopIfTrue="1">
      <formula>MOD(ROW(),2)=0</formula>
    </cfRule>
  </conditionalFormatting>
  <conditionalFormatting sqref="A125:U125">
    <cfRule type="expression" dxfId="18" priority="18" stopIfTrue="1">
      <formula>MOD(ROW(),2)=0</formula>
    </cfRule>
  </conditionalFormatting>
  <conditionalFormatting sqref="V125:W125 Y125">
    <cfRule type="expression" dxfId="17" priority="17" stopIfTrue="1">
      <formula>MOD(ROW(),2)=0</formula>
    </cfRule>
  </conditionalFormatting>
  <conditionalFormatting sqref="W126:W157">
    <cfRule type="expression" dxfId="16" priority="14" stopIfTrue="1">
      <formula>MOD(ROW(),2)=0</formula>
    </cfRule>
  </conditionalFormatting>
  <conditionalFormatting sqref="W166">
    <cfRule type="expression" dxfId="15" priority="15" stopIfTrue="1">
      <formula>MOD(ROW(),2)=0</formula>
    </cfRule>
  </conditionalFormatting>
  <conditionalFormatting sqref="W5:W18 W46:W58 W60:W124 W20:W23 W25:W44">
    <cfRule type="expression" dxfId="14" priority="13" stopIfTrue="1">
      <formula>MOD(ROW(),2)=0</formula>
    </cfRule>
  </conditionalFormatting>
  <conditionalFormatting sqref="W170">
    <cfRule type="expression" dxfId="13" priority="10" stopIfTrue="1">
      <formula>MOD(ROW(),2)=0</formula>
    </cfRule>
  </conditionalFormatting>
  <conditionalFormatting sqref="W158:W165 W167:W169">
    <cfRule type="expression" dxfId="12" priority="11" stopIfTrue="1">
      <formula>MOD(ROW(),2)=0</formula>
    </cfRule>
  </conditionalFormatting>
  <conditionalFormatting sqref="W4:X4">
    <cfRule type="expression" dxfId="11" priority="12" stopIfTrue="1">
      <formula>MOD(ROW(),2)=0</formula>
    </cfRule>
  </conditionalFormatting>
  <conditionalFormatting sqref="W125">
    <cfRule type="expression" dxfId="10" priority="9" stopIfTrue="1">
      <formula>MOD(ROW(),2)=0</formula>
    </cfRule>
  </conditionalFormatting>
  <conditionalFormatting sqref="C169">
    <cfRule type="expression" dxfId="9" priority="8">
      <formula>MOD(ROW(),2)=0</formula>
    </cfRule>
  </conditionalFormatting>
  <conditionalFormatting sqref="B169">
    <cfRule type="expression" dxfId="8" priority="7">
      <formula>MOD(ROW(),2)=0</formula>
    </cfRule>
  </conditionalFormatting>
  <conditionalFormatting sqref="X126:X157 Y149 Y145 Y147">
    <cfRule type="expression" dxfId="7" priority="5" stopIfTrue="1">
      <formula>MOD(ROW(),2)=0</formula>
    </cfRule>
  </conditionalFormatting>
  <conditionalFormatting sqref="X166">
    <cfRule type="expression" dxfId="6" priority="6" stopIfTrue="1">
      <formula>MOD(ROW(),2)=0</formula>
    </cfRule>
  </conditionalFormatting>
  <conditionalFormatting sqref="X5:X18 X46:X58 X60:X124 X20:X23 X25:X44 Y30:Y31 Y34 Y42:Y45 Y51:Y53 Y55 Y72 Y74 Y78 Y80:Y81 Y85 Y89:Y90 Y92 Y94 Y98 Y106 Y115">
    <cfRule type="expression" dxfId="5" priority="4" stopIfTrue="1">
      <formula>MOD(ROW(),2)=0</formula>
    </cfRule>
  </conditionalFormatting>
  <conditionalFormatting sqref="X170">
    <cfRule type="expression" dxfId="4" priority="2" stopIfTrue="1">
      <formula>MOD(ROW(),2)=0</formula>
    </cfRule>
  </conditionalFormatting>
  <conditionalFormatting sqref="X158:X165 X167:X169 Y163 Y168">
    <cfRule type="expression" dxfId="3" priority="3" stopIfTrue="1">
      <formula>MOD(ROW(),2)=0</formula>
    </cfRule>
  </conditionalFormatting>
  <conditionalFormatting sqref="X125">
    <cfRule type="expression" dxfId="2" priority="1" stopIfTrue="1">
      <formula>MOD(ROW(),2)=0</formula>
    </cfRule>
  </conditionalFormatting>
  <pageMargins left="0.75" right="0.75" top="1" bottom="1" header="0.5" footer="0.5"/>
  <pageSetup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91"/>
  <sheetViews>
    <sheetView zoomScale="90" zoomScaleNormal="90" workbookViewId="0">
      <selection activeCell="H18" sqref="H18"/>
    </sheetView>
  </sheetViews>
  <sheetFormatPr defaultRowHeight="14.25" x14ac:dyDescent="0.2"/>
  <cols>
    <col min="3" max="3" width="14.75" bestFit="1" customWidth="1"/>
    <col min="5" max="6" width="10.875" customWidth="1"/>
    <col min="7" max="16" width="13.25" customWidth="1"/>
    <col min="17" max="22" width="9" customWidth="1"/>
    <col min="23" max="25" width="11.625" customWidth="1"/>
  </cols>
  <sheetData>
    <row r="1" spans="1:25" ht="20.25" x14ac:dyDescent="0.3">
      <c r="A1" s="135" t="s">
        <v>712</v>
      </c>
      <c r="B1" s="136"/>
      <c r="C1" s="135"/>
      <c r="D1" s="135"/>
    </row>
    <row r="2" spans="1:25" ht="21" thickBot="1" x14ac:dyDescent="0.35">
      <c r="A2" s="122" t="s">
        <v>843</v>
      </c>
      <c r="B2" s="123"/>
      <c r="C2" s="124">
        <v>44595</v>
      </c>
      <c r="D2" s="135">
        <v>3</v>
      </c>
      <c r="E2" s="135">
        <v>4</v>
      </c>
      <c r="F2" s="135">
        <v>5</v>
      </c>
      <c r="G2" s="135">
        <v>6</v>
      </c>
      <c r="H2" s="135">
        <v>7</v>
      </c>
      <c r="I2" s="135">
        <v>8</v>
      </c>
      <c r="J2" s="135">
        <v>9</v>
      </c>
      <c r="K2" s="135">
        <v>10</v>
      </c>
      <c r="L2" s="135">
        <v>11</v>
      </c>
      <c r="M2" s="135">
        <v>12</v>
      </c>
      <c r="N2" s="135">
        <v>13</v>
      </c>
      <c r="O2" s="135">
        <v>14</v>
      </c>
      <c r="P2" s="135">
        <v>15</v>
      </c>
      <c r="Q2" s="135">
        <v>16</v>
      </c>
      <c r="R2" s="135">
        <v>17</v>
      </c>
      <c r="S2" s="135">
        <v>18</v>
      </c>
      <c r="T2" s="135">
        <v>19</v>
      </c>
      <c r="U2" s="135">
        <v>20</v>
      </c>
      <c r="V2" s="135">
        <v>21</v>
      </c>
      <c r="W2" s="135">
        <v>22</v>
      </c>
      <c r="X2" s="135">
        <v>23</v>
      </c>
      <c r="Y2" s="135">
        <v>24</v>
      </c>
    </row>
    <row r="3" spans="1:25" ht="20.25" x14ac:dyDescent="0.3">
      <c r="A3" s="137" t="s">
        <v>10</v>
      </c>
      <c r="B3" s="137" t="s">
        <v>835</v>
      </c>
      <c r="C3" s="137" t="s">
        <v>836</v>
      </c>
      <c r="D3" s="136"/>
      <c r="E3" s="138" t="s">
        <v>837</v>
      </c>
      <c r="F3" s="139" t="s">
        <v>837</v>
      </c>
      <c r="G3" s="138" t="s">
        <v>837</v>
      </c>
      <c r="H3" s="138" t="s">
        <v>837</v>
      </c>
      <c r="I3" s="138" t="s">
        <v>837</v>
      </c>
      <c r="J3" s="138" t="s">
        <v>837</v>
      </c>
      <c r="K3" s="138" t="s">
        <v>837</v>
      </c>
      <c r="L3" s="138" t="s">
        <v>837</v>
      </c>
      <c r="M3" s="138" t="s">
        <v>837</v>
      </c>
      <c r="N3" s="138" t="s">
        <v>837</v>
      </c>
      <c r="O3" s="138" t="s">
        <v>837</v>
      </c>
      <c r="P3" s="138" t="s">
        <v>837</v>
      </c>
      <c r="Q3" s="138" t="s">
        <v>837</v>
      </c>
      <c r="R3" s="138" t="s">
        <v>837</v>
      </c>
      <c r="S3" s="138" t="s">
        <v>837</v>
      </c>
      <c r="T3" s="138" t="s">
        <v>837</v>
      </c>
      <c r="U3" s="138" t="s">
        <v>837</v>
      </c>
      <c r="V3" s="138" t="s">
        <v>837</v>
      </c>
      <c r="W3" s="138" t="s">
        <v>837</v>
      </c>
      <c r="X3" s="138" t="s">
        <v>837</v>
      </c>
      <c r="Y3" s="138" t="s">
        <v>837</v>
      </c>
    </row>
    <row r="4" spans="1:25" ht="20.25" x14ac:dyDescent="0.3">
      <c r="A4" s="136"/>
      <c r="B4" s="136" t="s">
        <v>838</v>
      </c>
      <c r="C4" s="136" t="s">
        <v>839</v>
      </c>
      <c r="D4" s="136" t="s">
        <v>752</v>
      </c>
      <c r="E4" s="140">
        <v>2001</v>
      </c>
      <c r="F4" s="140">
        <v>2002</v>
      </c>
      <c r="G4" s="138">
        <v>2003</v>
      </c>
      <c r="H4" s="138">
        <v>2004</v>
      </c>
      <c r="I4" s="138">
        <v>2005</v>
      </c>
      <c r="J4" s="138">
        <v>2006</v>
      </c>
      <c r="K4" s="138">
        <v>2007</v>
      </c>
      <c r="L4" s="138">
        <v>2008</v>
      </c>
      <c r="M4" s="138">
        <v>2009</v>
      </c>
      <c r="N4" s="138">
        <v>2010</v>
      </c>
      <c r="O4" s="138">
        <v>2011</v>
      </c>
      <c r="P4" s="138">
        <v>2012</v>
      </c>
      <c r="Q4" s="138">
        <v>2013</v>
      </c>
      <c r="R4" s="138">
        <v>2014</v>
      </c>
      <c r="S4" s="138">
        <v>2015</v>
      </c>
      <c r="T4" s="138">
        <v>2016</v>
      </c>
      <c r="U4" s="138">
        <v>2017</v>
      </c>
      <c r="V4" s="138">
        <v>2018</v>
      </c>
      <c r="W4" s="138">
        <v>2019</v>
      </c>
      <c r="X4" s="138">
        <v>2020</v>
      </c>
      <c r="Y4" s="138">
        <v>2021</v>
      </c>
    </row>
    <row r="5" spans="1:25" ht="15" x14ac:dyDescent="0.2">
      <c r="A5" s="141" t="s">
        <v>50</v>
      </c>
      <c r="B5" s="142">
        <v>718</v>
      </c>
      <c r="C5" s="141" t="s">
        <v>753</v>
      </c>
      <c r="D5" s="141" t="s">
        <v>754</v>
      </c>
      <c r="E5" s="143">
        <v>3739</v>
      </c>
      <c r="F5" s="143">
        <v>3744</v>
      </c>
      <c r="G5" s="143">
        <v>3585</v>
      </c>
      <c r="H5" s="143">
        <v>3599</v>
      </c>
      <c r="I5" s="143">
        <v>3602</v>
      </c>
      <c r="J5" s="143">
        <v>3623</v>
      </c>
      <c r="K5" s="143">
        <v>4735</v>
      </c>
      <c r="L5" s="143">
        <v>4421</v>
      </c>
      <c r="M5" s="143">
        <v>5893</v>
      </c>
      <c r="N5" s="143">
        <v>5834</v>
      </c>
      <c r="O5" s="143">
        <v>5832</v>
      </c>
      <c r="P5" s="143">
        <v>5885</v>
      </c>
      <c r="Q5" s="144">
        <v>5896</v>
      </c>
      <c r="R5" s="144">
        <v>5953</v>
      </c>
      <c r="S5" s="144">
        <v>6056</v>
      </c>
      <c r="T5" s="144">
        <v>6096</v>
      </c>
      <c r="U5" s="144">
        <v>6091</v>
      </c>
      <c r="V5" s="144">
        <v>6092</v>
      </c>
      <c r="W5" s="163">
        <v>6143</v>
      </c>
      <c r="X5" s="163">
        <v>6150</v>
      </c>
      <c r="Y5" s="163">
        <v>6254</v>
      </c>
    </row>
    <row r="6" spans="1:25" ht="15" x14ac:dyDescent="0.2">
      <c r="A6" s="141" t="s">
        <v>50</v>
      </c>
      <c r="B6" s="142">
        <v>871</v>
      </c>
      <c r="C6" s="141" t="s">
        <v>755</v>
      </c>
      <c r="D6" s="141" t="s">
        <v>754</v>
      </c>
      <c r="E6" s="143">
        <v>27758</v>
      </c>
      <c r="F6" s="143">
        <v>27514</v>
      </c>
      <c r="G6" s="143">
        <v>29622</v>
      </c>
      <c r="H6" s="143">
        <v>30297</v>
      </c>
      <c r="I6" s="143">
        <v>31718</v>
      </c>
      <c r="J6" s="143">
        <v>33713</v>
      </c>
      <c r="K6" s="143">
        <v>34767</v>
      </c>
      <c r="L6" s="143">
        <v>35897</v>
      </c>
      <c r="M6" s="143">
        <v>35839</v>
      </c>
      <c r="N6" s="143">
        <v>35760</v>
      </c>
      <c r="O6" s="143">
        <v>36305</v>
      </c>
      <c r="P6" s="143">
        <v>35950.259140130955</v>
      </c>
      <c r="Q6" s="144">
        <v>35175.953511056512</v>
      </c>
      <c r="R6" s="144">
        <v>35414</v>
      </c>
      <c r="S6" s="144">
        <v>35857</v>
      </c>
      <c r="T6" s="144">
        <v>36302</v>
      </c>
      <c r="U6" s="144">
        <v>37354.975893194409</v>
      </c>
      <c r="V6" s="144">
        <v>38701.687814777062</v>
      </c>
      <c r="W6" s="163">
        <v>39177.434921810091</v>
      </c>
      <c r="X6" s="163">
        <v>39874.635999718826</v>
      </c>
      <c r="Y6" s="163">
        <v>40211</v>
      </c>
    </row>
    <row r="7" spans="1:25" ht="15" x14ac:dyDescent="0.2">
      <c r="A7" s="141" t="s">
        <v>50</v>
      </c>
      <c r="B7" s="142">
        <v>1512</v>
      </c>
      <c r="C7" s="141" t="s">
        <v>756</v>
      </c>
      <c r="D7" s="141" t="s">
        <v>754</v>
      </c>
      <c r="E7" s="143">
        <v>4751</v>
      </c>
      <c r="F7" s="143">
        <v>4866</v>
      </c>
      <c r="G7" s="143">
        <v>5469</v>
      </c>
      <c r="H7" s="143">
        <v>5469</v>
      </c>
      <c r="I7" s="143">
        <v>4607</v>
      </c>
      <c r="J7" s="143">
        <v>4934</v>
      </c>
      <c r="K7" s="143">
        <v>5060</v>
      </c>
      <c r="L7" s="143">
        <v>4890</v>
      </c>
      <c r="M7" s="143">
        <v>4178</v>
      </c>
      <c r="N7" s="143">
        <v>4176</v>
      </c>
      <c r="O7" s="143">
        <v>4380.4449617355376</v>
      </c>
      <c r="P7" s="143">
        <v>4540.9448296741921</v>
      </c>
      <c r="Q7" s="144">
        <v>4377.5870852551443</v>
      </c>
      <c r="R7" s="144">
        <v>3477</v>
      </c>
      <c r="S7" s="144">
        <v>3559</v>
      </c>
      <c r="T7" s="144">
        <v>3595</v>
      </c>
      <c r="U7" s="144">
        <v>4544.4529262622973</v>
      </c>
      <c r="V7" s="144">
        <v>4482.8190974594509</v>
      </c>
      <c r="W7" s="163">
        <v>4559.0706540142537</v>
      </c>
      <c r="X7" s="163">
        <v>4563.7174754602956</v>
      </c>
      <c r="Y7" s="163">
        <v>4576</v>
      </c>
    </row>
    <row r="8" spans="1:25" ht="15" x14ac:dyDescent="0.2">
      <c r="A8" s="141" t="s">
        <v>50</v>
      </c>
      <c r="B8" s="142">
        <v>3522</v>
      </c>
      <c r="C8" s="141" t="s">
        <v>49</v>
      </c>
      <c r="D8" s="141" t="s">
        <v>754</v>
      </c>
      <c r="E8" s="143">
        <v>3194</v>
      </c>
      <c r="F8" s="143">
        <v>4375</v>
      </c>
      <c r="G8" s="143">
        <v>4600</v>
      </c>
      <c r="H8" s="143">
        <v>5297</v>
      </c>
      <c r="I8" s="143">
        <v>5662</v>
      </c>
      <c r="J8" s="143">
        <v>5415</v>
      </c>
      <c r="K8" s="143">
        <v>6120</v>
      </c>
      <c r="L8" s="143">
        <v>6151</v>
      </c>
      <c r="M8" s="143">
        <v>6167</v>
      </c>
      <c r="N8" s="143">
        <v>6422</v>
      </c>
      <c r="O8" s="143">
        <v>6153</v>
      </c>
      <c r="P8" s="143">
        <v>6517.9797562906797</v>
      </c>
      <c r="Q8" s="144">
        <v>6700.2963327555008</v>
      </c>
      <c r="R8" s="144">
        <v>6843</v>
      </c>
      <c r="S8" s="144">
        <v>6826</v>
      </c>
      <c r="T8" s="144">
        <v>6794</v>
      </c>
      <c r="U8" s="144">
        <v>6873.229435143</v>
      </c>
      <c r="V8" s="144">
        <v>7017.0118396035014</v>
      </c>
      <c r="W8" s="163">
        <v>7186.1919714080304</v>
      </c>
      <c r="X8" s="163">
        <v>6940.5756350687543</v>
      </c>
      <c r="Y8" s="163">
        <v>7383</v>
      </c>
    </row>
    <row r="9" spans="1:25" ht="15" x14ac:dyDescent="0.2">
      <c r="A9" s="141" t="s">
        <v>50</v>
      </c>
      <c r="B9" s="142">
        <v>7104</v>
      </c>
      <c r="C9" s="141" t="s">
        <v>757</v>
      </c>
      <c r="D9" s="141" t="s">
        <v>754</v>
      </c>
      <c r="E9" s="143">
        <v>68714</v>
      </c>
      <c r="F9" s="143">
        <v>71877</v>
      </c>
      <c r="G9" s="143">
        <v>85008</v>
      </c>
      <c r="H9" s="143">
        <v>86557</v>
      </c>
      <c r="I9" s="143">
        <v>87977</v>
      </c>
      <c r="J9" s="143">
        <v>120613</v>
      </c>
      <c r="K9" s="143">
        <v>125648</v>
      </c>
      <c r="L9" s="143">
        <v>118644</v>
      </c>
      <c r="M9" s="143">
        <v>122515</v>
      </c>
      <c r="N9" s="143">
        <v>119970</v>
      </c>
      <c r="O9" s="143">
        <v>119991.59485808192</v>
      </c>
      <c r="P9" s="143">
        <v>123431.99302090958</v>
      </c>
      <c r="Q9" s="144">
        <v>123885.25858577561</v>
      </c>
      <c r="R9" s="144">
        <v>124637</v>
      </c>
      <c r="S9" s="144">
        <v>126347</v>
      </c>
      <c r="T9" s="144">
        <v>128961</v>
      </c>
      <c r="U9" s="144">
        <v>130349.31774889788</v>
      </c>
      <c r="V9" s="144">
        <v>132185.27747996451</v>
      </c>
      <c r="W9" s="163">
        <v>134412</v>
      </c>
      <c r="X9" s="163">
        <v>137800</v>
      </c>
      <c r="Y9" s="163">
        <v>141173</v>
      </c>
    </row>
    <row r="10" spans="1:25" ht="15" x14ac:dyDescent="0.2">
      <c r="A10" s="141" t="s">
        <v>50</v>
      </c>
      <c r="B10" s="142">
        <v>7768</v>
      </c>
      <c r="C10" s="141" t="s">
        <v>758</v>
      </c>
      <c r="D10" s="141" t="s">
        <v>754</v>
      </c>
      <c r="E10" s="143" t="s">
        <v>840</v>
      </c>
      <c r="F10" s="143" t="s">
        <v>840</v>
      </c>
      <c r="G10" s="143">
        <v>491</v>
      </c>
      <c r="H10" s="143">
        <v>491</v>
      </c>
      <c r="I10" s="143">
        <v>614</v>
      </c>
      <c r="J10" s="143">
        <v>633</v>
      </c>
      <c r="K10" s="143">
        <v>588</v>
      </c>
      <c r="L10" s="143">
        <v>588</v>
      </c>
      <c r="M10" s="143">
        <v>588</v>
      </c>
      <c r="N10" s="143">
        <v>364</v>
      </c>
      <c r="O10" s="143">
        <v>459.61110225750008</v>
      </c>
      <c r="P10" s="143">
        <v>620.89801184812495</v>
      </c>
      <c r="Q10" s="144">
        <v>626</v>
      </c>
      <c r="R10" s="144">
        <v>460</v>
      </c>
      <c r="S10" s="144"/>
      <c r="T10" s="144" t="s">
        <v>794</v>
      </c>
      <c r="U10" s="144" t="s">
        <v>794</v>
      </c>
      <c r="V10" s="144" t="s">
        <v>794</v>
      </c>
      <c r="W10" s="163" t="s">
        <v>794</v>
      </c>
      <c r="X10" s="163" t="s">
        <v>794</v>
      </c>
      <c r="Y10" s="163" t="s">
        <v>794</v>
      </c>
    </row>
    <row r="11" spans="1:25" ht="15" x14ac:dyDescent="0.2">
      <c r="A11" s="141" t="s">
        <v>24</v>
      </c>
      <c r="B11" s="142">
        <v>207</v>
      </c>
      <c r="C11" s="141" t="s">
        <v>64</v>
      </c>
      <c r="D11" s="141" t="s">
        <v>759</v>
      </c>
      <c r="E11" s="143">
        <v>3555</v>
      </c>
      <c r="F11" s="143">
        <v>3630</v>
      </c>
      <c r="G11" s="143">
        <v>3656</v>
      </c>
      <c r="H11" s="143">
        <v>3685</v>
      </c>
      <c r="I11" s="143">
        <v>3685</v>
      </c>
      <c r="J11" s="143">
        <v>3685</v>
      </c>
      <c r="K11" s="143">
        <v>7667</v>
      </c>
      <c r="L11" s="143">
        <v>7667</v>
      </c>
      <c r="M11" s="143">
        <v>6268</v>
      </c>
      <c r="N11" s="143">
        <v>5767</v>
      </c>
      <c r="O11" s="143">
        <v>6138.0684523371465</v>
      </c>
      <c r="P11" s="143">
        <v>6182.0493432319017</v>
      </c>
      <c r="Q11" s="144">
        <v>6720</v>
      </c>
      <c r="R11" s="144">
        <v>6212</v>
      </c>
      <c r="S11" s="144">
        <v>6271</v>
      </c>
      <c r="T11" s="144">
        <v>5643</v>
      </c>
      <c r="U11" s="144">
        <v>6270.6630615140057</v>
      </c>
      <c r="V11" s="144">
        <v>5726.0249388620505</v>
      </c>
      <c r="W11" s="163">
        <v>5781.395389984109</v>
      </c>
      <c r="X11" s="163">
        <v>5683.558269855057</v>
      </c>
      <c r="Y11" s="163">
        <v>5698</v>
      </c>
    </row>
    <row r="12" spans="1:25" ht="15" x14ac:dyDescent="0.2">
      <c r="A12" s="141" t="s">
        <v>24</v>
      </c>
      <c r="B12" s="142">
        <v>419</v>
      </c>
      <c r="C12" s="141" t="s">
        <v>25</v>
      </c>
      <c r="D12" s="141" t="s">
        <v>759</v>
      </c>
      <c r="E12" s="143">
        <v>9826</v>
      </c>
      <c r="F12" s="143">
        <v>10033</v>
      </c>
      <c r="G12" s="143">
        <v>9300</v>
      </c>
      <c r="H12" s="143">
        <v>9300</v>
      </c>
      <c r="I12" s="143">
        <v>9300</v>
      </c>
      <c r="J12" s="143">
        <v>7200</v>
      </c>
      <c r="K12" s="143">
        <v>7200</v>
      </c>
      <c r="L12" s="143">
        <v>7288</v>
      </c>
      <c r="M12" s="143">
        <v>7288</v>
      </c>
      <c r="N12" s="143">
        <v>8915</v>
      </c>
      <c r="O12" s="143">
        <v>9077</v>
      </c>
      <c r="P12" s="143">
        <v>9061.1809395448363</v>
      </c>
      <c r="Q12" s="144">
        <v>9458</v>
      </c>
      <c r="R12" s="144">
        <v>9212</v>
      </c>
      <c r="S12" s="144">
        <v>9216</v>
      </c>
      <c r="T12" s="144">
        <v>9520</v>
      </c>
      <c r="U12" s="144">
        <v>9658.7637349177094</v>
      </c>
      <c r="V12" s="144">
        <v>9709.7589477763067</v>
      </c>
      <c r="W12" s="163">
        <v>10491.248381498963</v>
      </c>
      <c r="X12" s="163">
        <v>9185.2672688781877</v>
      </c>
      <c r="Y12" s="163">
        <v>9166</v>
      </c>
    </row>
    <row r="13" spans="1:25" ht="15" x14ac:dyDescent="0.2">
      <c r="A13" s="141" t="s">
        <v>24</v>
      </c>
      <c r="B13" s="142">
        <v>1118</v>
      </c>
      <c r="C13" s="141" t="s">
        <v>760</v>
      </c>
      <c r="D13" s="141" t="s">
        <v>759</v>
      </c>
      <c r="E13" s="143">
        <v>4272</v>
      </c>
      <c r="F13" s="143">
        <v>4358</v>
      </c>
      <c r="G13" s="143">
        <v>4570</v>
      </c>
      <c r="H13" s="143">
        <v>4713</v>
      </c>
      <c r="I13" s="143">
        <v>5668</v>
      </c>
      <c r="J13" s="143">
        <v>5980</v>
      </c>
      <c r="K13" s="143">
        <v>6025</v>
      </c>
      <c r="L13" s="143">
        <v>5979</v>
      </c>
      <c r="M13" s="143">
        <v>4705</v>
      </c>
      <c r="N13" s="143">
        <v>4683</v>
      </c>
      <c r="O13" s="143">
        <v>4715.9935705374783</v>
      </c>
      <c r="P13" s="143">
        <v>4633.9572378292214</v>
      </c>
      <c r="Q13" s="144">
        <v>4623.5109861659448</v>
      </c>
      <c r="R13" s="144">
        <v>4885</v>
      </c>
      <c r="S13" s="144">
        <v>5060</v>
      </c>
      <c r="T13" s="144">
        <v>5077</v>
      </c>
      <c r="U13" s="144">
        <v>5097.7890316827425</v>
      </c>
      <c r="V13" s="144">
        <v>5086.9441048497811</v>
      </c>
      <c r="W13" s="163">
        <v>5084.9336874861701</v>
      </c>
      <c r="X13" s="163">
        <v>5190.2001271249919</v>
      </c>
      <c r="Y13" s="163">
        <v>5196</v>
      </c>
    </row>
    <row r="14" spans="1:25" ht="15" x14ac:dyDescent="0.2">
      <c r="A14" s="141" t="s">
        <v>24</v>
      </c>
      <c r="B14" s="142">
        <v>2842</v>
      </c>
      <c r="C14" s="141" t="s">
        <v>761</v>
      </c>
      <c r="D14" s="141" t="s">
        <v>759</v>
      </c>
      <c r="E14" s="143">
        <v>8072</v>
      </c>
      <c r="F14" s="143">
        <v>10754</v>
      </c>
      <c r="G14" s="143">
        <v>13680</v>
      </c>
      <c r="H14" s="143">
        <v>13080</v>
      </c>
      <c r="I14" s="143">
        <v>13080</v>
      </c>
      <c r="J14" s="143">
        <v>15000</v>
      </c>
      <c r="K14" s="143">
        <v>15000</v>
      </c>
      <c r="L14" s="143">
        <v>16601</v>
      </c>
      <c r="M14" s="143">
        <v>15725</v>
      </c>
      <c r="N14" s="143">
        <v>15929</v>
      </c>
      <c r="O14" s="143">
        <v>17736.510506222723</v>
      </c>
      <c r="P14" s="143">
        <v>17571.943256545615</v>
      </c>
      <c r="Q14" s="144">
        <v>17358</v>
      </c>
      <c r="R14" s="144">
        <v>17343</v>
      </c>
      <c r="S14" s="144">
        <v>17569</v>
      </c>
      <c r="T14" s="144">
        <v>17516</v>
      </c>
      <c r="U14" s="144">
        <v>17768</v>
      </c>
      <c r="V14" s="144">
        <v>18339.157365515952</v>
      </c>
      <c r="W14" s="163">
        <v>18761.534422693912</v>
      </c>
      <c r="X14" s="163">
        <v>19805.672442450697</v>
      </c>
      <c r="Y14" s="163">
        <v>21150</v>
      </c>
    </row>
    <row r="15" spans="1:25" ht="15" x14ac:dyDescent="0.2">
      <c r="A15" s="141" t="s">
        <v>24</v>
      </c>
      <c r="B15" s="142">
        <v>4153</v>
      </c>
      <c r="C15" s="141" t="s">
        <v>762</v>
      </c>
      <c r="D15" s="141" t="s">
        <v>759</v>
      </c>
      <c r="E15" s="143">
        <v>11439</v>
      </c>
      <c r="F15" s="143">
        <v>11457</v>
      </c>
      <c r="G15" s="143">
        <v>11475</v>
      </c>
      <c r="H15" s="143">
        <v>11669</v>
      </c>
      <c r="I15" s="143">
        <v>12242</v>
      </c>
      <c r="J15" s="143">
        <v>12242</v>
      </c>
      <c r="K15" s="143">
        <v>12602</v>
      </c>
      <c r="L15" s="143">
        <v>12602</v>
      </c>
      <c r="M15" s="143">
        <v>11113</v>
      </c>
      <c r="N15" s="143">
        <v>11121</v>
      </c>
      <c r="O15" s="143">
        <v>11395</v>
      </c>
      <c r="P15" s="143">
        <v>11291.345646141779</v>
      </c>
      <c r="Q15" s="144">
        <v>11291.345646141779</v>
      </c>
      <c r="R15" s="144">
        <v>11507</v>
      </c>
      <c r="S15" s="144">
        <v>11507</v>
      </c>
      <c r="T15" s="144">
        <v>11301</v>
      </c>
      <c r="U15" s="144">
        <v>11355.752003427102</v>
      </c>
      <c r="V15" s="144">
        <v>11356.290793127102</v>
      </c>
      <c r="W15" s="163">
        <v>11510.206067666331</v>
      </c>
      <c r="X15" s="163">
        <v>11548.33651288406</v>
      </c>
      <c r="Y15" s="163">
        <v>11856</v>
      </c>
    </row>
    <row r="16" spans="1:25" ht="15" x14ac:dyDescent="0.2">
      <c r="A16" s="141" t="s">
        <v>24</v>
      </c>
      <c r="B16" s="142">
        <v>4406</v>
      </c>
      <c r="C16" s="141" t="s">
        <v>13</v>
      </c>
      <c r="D16" s="141" t="s">
        <v>759</v>
      </c>
      <c r="E16" s="143">
        <v>4422</v>
      </c>
      <c r="F16" s="143">
        <v>3973</v>
      </c>
      <c r="G16" s="143">
        <v>5970</v>
      </c>
      <c r="H16" s="143">
        <v>6000</v>
      </c>
      <c r="I16" s="143">
        <v>6075</v>
      </c>
      <c r="J16" s="143">
        <v>6314</v>
      </c>
      <c r="K16" s="143">
        <v>6394</v>
      </c>
      <c r="L16" s="143">
        <v>6452</v>
      </c>
      <c r="M16" s="143">
        <v>4711</v>
      </c>
      <c r="N16" s="143">
        <v>4736</v>
      </c>
      <c r="O16" s="143">
        <v>5329</v>
      </c>
      <c r="P16" s="143">
        <v>5536.3636991180028</v>
      </c>
      <c r="Q16" s="144">
        <v>5578.3866460772269</v>
      </c>
      <c r="R16" s="144">
        <v>5594</v>
      </c>
      <c r="S16" s="144">
        <v>5558</v>
      </c>
      <c r="T16" s="144">
        <v>5691</v>
      </c>
      <c r="U16" s="144">
        <v>5703.5335430798477</v>
      </c>
      <c r="V16" s="144">
        <v>5764.5071782064388</v>
      </c>
      <c r="W16" s="163">
        <v>5778.1157667312527</v>
      </c>
      <c r="X16" s="163">
        <v>5802.196827144262</v>
      </c>
      <c r="Y16" s="163">
        <v>5829</v>
      </c>
    </row>
    <row r="17" spans="1:25" ht="15" x14ac:dyDescent="0.2">
      <c r="A17" s="141" t="s">
        <v>24</v>
      </c>
      <c r="B17" s="142">
        <v>6691</v>
      </c>
      <c r="C17" s="141" t="s">
        <v>763</v>
      </c>
      <c r="D17" s="141" t="s">
        <v>759</v>
      </c>
      <c r="E17" s="143" t="s">
        <v>840</v>
      </c>
      <c r="F17" s="143" t="s">
        <v>841</v>
      </c>
      <c r="G17" s="143">
        <v>230</v>
      </c>
      <c r="H17" s="143">
        <v>555</v>
      </c>
      <c r="I17" s="143">
        <v>578</v>
      </c>
      <c r="J17" s="143">
        <v>578</v>
      </c>
      <c r="K17" s="143">
        <v>590</v>
      </c>
      <c r="L17" s="143">
        <v>590</v>
      </c>
      <c r="M17" s="143">
        <v>580</v>
      </c>
      <c r="N17" s="143">
        <v>590</v>
      </c>
      <c r="O17" s="143">
        <v>524.14087800156506</v>
      </c>
      <c r="P17" s="143">
        <v>543.15529973830689</v>
      </c>
      <c r="Q17" s="144">
        <v>522.34475185561314</v>
      </c>
      <c r="R17" s="144">
        <v>531</v>
      </c>
      <c r="S17" s="144">
        <v>551</v>
      </c>
      <c r="T17" s="144">
        <v>562</v>
      </c>
      <c r="U17" s="144">
        <v>574.37103395252996</v>
      </c>
      <c r="V17" s="144">
        <v>576.45208842337252</v>
      </c>
      <c r="W17" s="163">
        <v>578.53325628894856</v>
      </c>
      <c r="X17" s="163">
        <v>584.77641873849348</v>
      </c>
      <c r="Y17" s="163">
        <v>589</v>
      </c>
    </row>
    <row r="18" spans="1:25" ht="15" x14ac:dyDescent="0.2">
      <c r="A18" s="141" t="s">
        <v>24</v>
      </c>
      <c r="B18" s="142">
        <v>7121</v>
      </c>
      <c r="C18" s="141" t="s">
        <v>764</v>
      </c>
      <c r="D18" s="141" t="s">
        <v>759</v>
      </c>
      <c r="E18" s="143">
        <v>16943</v>
      </c>
      <c r="F18" s="143">
        <v>18757</v>
      </c>
      <c r="G18" s="143">
        <v>18794</v>
      </c>
      <c r="H18" s="143">
        <v>19000</v>
      </c>
      <c r="I18" s="143">
        <v>23917</v>
      </c>
      <c r="J18" s="143">
        <v>24309</v>
      </c>
      <c r="K18" s="143">
        <v>26209</v>
      </c>
      <c r="L18" s="143">
        <v>23117</v>
      </c>
      <c r="M18" s="143">
        <v>25103</v>
      </c>
      <c r="N18" s="143">
        <v>25738</v>
      </c>
      <c r="O18" s="143">
        <v>25559.812055682542</v>
      </c>
      <c r="P18" s="143">
        <v>25086.071779436508</v>
      </c>
      <c r="Q18" s="144">
        <v>26295</v>
      </c>
      <c r="R18" s="144">
        <v>25784</v>
      </c>
      <c r="S18" s="144">
        <v>26001</v>
      </c>
      <c r="T18" s="144">
        <v>25380</v>
      </c>
      <c r="U18" s="144">
        <v>24570</v>
      </c>
      <c r="V18" s="144">
        <v>25035.471265444394</v>
      </c>
      <c r="W18" s="163">
        <v>25232.167989775837</v>
      </c>
      <c r="X18" s="163">
        <v>26241.129516884212</v>
      </c>
      <c r="Y18" s="163">
        <v>28550</v>
      </c>
    </row>
    <row r="19" spans="1:25" ht="15" x14ac:dyDescent="0.2">
      <c r="A19" s="141" t="s">
        <v>24</v>
      </c>
      <c r="B19" s="142">
        <v>9097</v>
      </c>
      <c r="C19" s="141" t="s">
        <v>921</v>
      </c>
      <c r="D19" s="141" t="s">
        <v>759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4"/>
      <c r="R19" s="144"/>
      <c r="S19" s="144"/>
      <c r="T19" s="144"/>
      <c r="U19" s="144"/>
      <c r="V19" s="144"/>
      <c r="W19" s="163" t="s">
        <v>794</v>
      </c>
      <c r="X19" s="163">
        <v>158.37739111786871</v>
      </c>
      <c r="Y19" s="163">
        <v>161</v>
      </c>
    </row>
    <row r="20" spans="1:25" ht="15" x14ac:dyDescent="0.2">
      <c r="A20" s="141" t="s">
        <v>24</v>
      </c>
      <c r="B20" s="142">
        <v>9791</v>
      </c>
      <c r="C20" s="141" t="s">
        <v>761</v>
      </c>
      <c r="D20" s="141" t="s">
        <v>759</v>
      </c>
      <c r="E20" s="143">
        <v>6879</v>
      </c>
      <c r="F20" s="143">
        <v>8483</v>
      </c>
      <c r="G20" s="143">
        <v>11117</v>
      </c>
      <c r="H20" s="143">
        <v>11117</v>
      </c>
      <c r="I20" s="143">
        <v>9659</v>
      </c>
      <c r="J20" s="143">
        <v>10390</v>
      </c>
      <c r="K20" s="143">
        <v>10971</v>
      </c>
      <c r="L20" s="143">
        <v>10971</v>
      </c>
      <c r="M20" s="143">
        <v>10333</v>
      </c>
      <c r="N20" s="143">
        <v>11870</v>
      </c>
      <c r="O20" s="143">
        <v>10877.044327822745</v>
      </c>
      <c r="P20" s="143">
        <v>11144.406530024524</v>
      </c>
      <c r="Q20" s="144">
        <v>11000</v>
      </c>
      <c r="R20" s="144">
        <v>10896</v>
      </c>
      <c r="S20" s="144">
        <v>11244</v>
      </c>
      <c r="T20" s="144">
        <v>11217</v>
      </c>
      <c r="U20" s="144">
        <v>11217</v>
      </c>
      <c r="V20" s="144">
        <v>11998.298512350319</v>
      </c>
      <c r="W20" s="163">
        <v>12433.86230282376</v>
      </c>
      <c r="X20" s="163">
        <v>12999.473059699008</v>
      </c>
      <c r="Y20" s="163">
        <v>14405</v>
      </c>
    </row>
    <row r="21" spans="1:25" ht="15" x14ac:dyDescent="0.2">
      <c r="A21" s="141" t="s">
        <v>24</v>
      </c>
      <c r="B21" s="142">
        <v>11839</v>
      </c>
      <c r="C21" s="141" t="s">
        <v>765</v>
      </c>
      <c r="D21" s="141" t="s">
        <v>759</v>
      </c>
      <c r="E21" s="143" t="s">
        <v>840</v>
      </c>
      <c r="F21" s="143" t="s">
        <v>840</v>
      </c>
      <c r="G21" s="143" t="s">
        <v>840</v>
      </c>
      <c r="H21" s="143">
        <v>1400</v>
      </c>
      <c r="I21" s="143">
        <v>1400</v>
      </c>
      <c r="J21" s="143">
        <v>848</v>
      </c>
      <c r="K21" s="143">
        <v>752</v>
      </c>
      <c r="L21" s="143">
        <v>844</v>
      </c>
      <c r="M21" s="143">
        <v>892</v>
      </c>
      <c r="N21" s="143">
        <v>326</v>
      </c>
      <c r="O21" s="143">
        <v>942</v>
      </c>
      <c r="P21" s="143">
        <v>947.01593576488801</v>
      </c>
      <c r="Q21" s="144">
        <v>947.01593576488801</v>
      </c>
      <c r="R21" s="144">
        <v>974</v>
      </c>
      <c r="S21" s="144">
        <v>994</v>
      </c>
      <c r="T21" s="144">
        <v>1021</v>
      </c>
      <c r="U21" s="144">
        <v>1019</v>
      </c>
      <c r="V21" s="144">
        <v>1019</v>
      </c>
      <c r="W21" s="163">
        <v>1021.3684265894041</v>
      </c>
      <c r="X21" s="163">
        <v>1021.368440565181</v>
      </c>
      <c r="Y21" s="163">
        <v>1021</v>
      </c>
    </row>
    <row r="22" spans="1:25" ht="15" x14ac:dyDescent="0.2">
      <c r="A22" s="141" t="s">
        <v>24</v>
      </c>
      <c r="B22" s="142">
        <v>20230</v>
      </c>
      <c r="C22" s="141" t="s">
        <v>478</v>
      </c>
      <c r="D22" s="141" t="s">
        <v>759</v>
      </c>
      <c r="E22" s="143" t="s">
        <v>840</v>
      </c>
      <c r="F22" s="143" t="s">
        <v>840</v>
      </c>
      <c r="G22" s="143" t="s">
        <v>840</v>
      </c>
      <c r="H22" s="143" t="s">
        <v>840</v>
      </c>
      <c r="I22" s="143" t="s">
        <v>840</v>
      </c>
      <c r="J22" s="143" t="s">
        <v>840</v>
      </c>
      <c r="K22" s="143" t="s">
        <v>840</v>
      </c>
      <c r="L22" s="143" t="s">
        <v>840</v>
      </c>
      <c r="M22" s="143" t="s">
        <v>840</v>
      </c>
      <c r="N22" s="143" t="s">
        <v>840</v>
      </c>
      <c r="O22" s="143">
        <v>3956</v>
      </c>
      <c r="P22" s="143">
        <v>4057.3309002331462</v>
      </c>
      <c r="Q22" s="144">
        <v>4339.4458532702774</v>
      </c>
      <c r="R22" s="144">
        <v>4463</v>
      </c>
      <c r="S22" s="144">
        <v>4695</v>
      </c>
      <c r="T22" s="144">
        <v>4886</v>
      </c>
      <c r="U22" s="144">
        <v>4673.5009420466049</v>
      </c>
      <c r="V22" s="144">
        <v>4676</v>
      </c>
      <c r="W22" s="163">
        <v>4764.3779065395465</v>
      </c>
      <c r="X22" s="163">
        <v>4754.0141331993646</v>
      </c>
      <c r="Y22" s="163">
        <v>4739</v>
      </c>
    </row>
    <row r="23" spans="1:25" ht="15" x14ac:dyDescent="0.2">
      <c r="A23" s="145" t="s">
        <v>15</v>
      </c>
      <c r="B23" s="146">
        <v>4725</v>
      </c>
      <c r="C23" s="147" t="s">
        <v>766</v>
      </c>
      <c r="D23" s="147" t="s">
        <v>754</v>
      </c>
      <c r="E23" s="143">
        <v>7357</v>
      </c>
      <c r="F23" s="143">
        <v>7371</v>
      </c>
      <c r="G23" s="143">
        <v>7371</v>
      </c>
      <c r="H23" s="143">
        <v>7919</v>
      </c>
      <c r="I23" s="143">
        <v>8942</v>
      </c>
      <c r="J23" s="143">
        <v>8942</v>
      </c>
      <c r="K23" s="143">
        <v>8942</v>
      </c>
      <c r="L23" s="143">
        <v>8942</v>
      </c>
      <c r="M23" s="143">
        <v>11043</v>
      </c>
      <c r="N23" s="143">
        <v>9720</v>
      </c>
      <c r="O23" s="143">
        <v>8575.9275390613857</v>
      </c>
      <c r="P23" s="143">
        <v>10365.794337760077</v>
      </c>
      <c r="Q23" s="144">
        <v>10748.364896627423</v>
      </c>
      <c r="R23" s="144">
        <v>10498</v>
      </c>
      <c r="S23" s="144">
        <v>10331</v>
      </c>
      <c r="T23" s="144">
        <v>10039</v>
      </c>
      <c r="U23" s="144">
        <v>10066</v>
      </c>
      <c r="V23" s="144">
        <v>10701.787661295793</v>
      </c>
      <c r="W23" s="163">
        <v>10844.497136321563</v>
      </c>
      <c r="X23" s="163">
        <v>11868.294486976434</v>
      </c>
      <c r="Y23" s="163">
        <v>12113</v>
      </c>
    </row>
    <row r="24" spans="1:25" ht="15" x14ac:dyDescent="0.2">
      <c r="A24" s="145" t="s">
        <v>15</v>
      </c>
      <c r="B24" s="146">
        <v>10420</v>
      </c>
      <c r="C24" s="147" t="s">
        <v>842</v>
      </c>
      <c r="D24" s="147" t="s">
        <v>754</v>
      </c>
      <c r="E24" s="143">
        <v>1289</v>
      </c>
      <c r="F24" s="143">
        <v>1289</v>
      </c>
      <c r="G24" s="143">
        <v>1289</v>
      </c>
      <c r="H24" s="143">
        <v>1289</v>
      </c>
      <c r="I24" s="143">
        <v>1621</v>
      </c>
      <c r="J24" s="143">
        <v>1621</v>
      </c>
      <c r="K24" s="143">
        <v>4134</v>
      </c>
      <c r="L24" s="143">
        <v>4134</v>
      </c>
      <c r="M24" s="143">
        <v>4134</v>
      </c>
      <c r="N24" s="143">
        <v>4250</v>
      </c>
      <c r="O24" s="143" t="s">
        <v>794</v>
      </c>
      <c r="P24" s="143" t="s">
        <v>794</v>
      </c>
      <c r="Q24" s="144" t="s">
        <v>794</v>
      </c>
      <c r="R24" s="144" t="s">
        <v>794</v>
      </c>
      <c r="S24" s="144" t="s">
        <v>794</v>
      </c>
      <c r="T24" s="144" t="s">
        <v>794</v>
      </c>
      <c r="U24" s="144" t="s">
        <v>794</v>
      </c>
      <c r="V24" s="144" t="s">
        <v>794</v>
      </c>
      <c r="W24" s="163" t="s">
        <v>794</v>
      </c>
      <c r="X24" s="163" t="s">
        <v>794</v>
      </c>
      <c r="Y24" s="163" t="s">
        <v>794</v>
      </c>
    </row>
    <row r="25" spans="1:25" ht="15" x14ac:dyDescent="0.2">
      <c r="A25" s="145" t="s">
        <v>15</v>
      </c>
      <c r="B25" s="146">
        <v>20457</v>
      </c>
      <c r="C25" s="147" t="s">
        <v>910</v>
      </c>
      <c r="D25" s="147" t="s">
        <v>754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4"/>
      <c r="R25" s="144">
        <v>8709</v>
      </c>
      <c r="S25" s="144">
        <v>5381</v>
      </c>
      <c r="T25" s="144">
        <v>5186</v>
      </c>
      <c r="U25" s="144">
        <v>5261.5952507835009</v>
      </c>
      <c r="V25" s="144">
        <v>5335.1105536886607</v>
      </c>
      <c r="W25" s="163">
        <v>5391.8223587869252</v>
      </c>
      <c r="X25" s="163">
        <v>5950.5386827475713</v>
      </c>
      <c r="Y25" s="163">
        <v>6188</v>
      </c>
    </row>
    <row r="26" spans="1:25" ht="15" x14ac:dyDescent="0.2">
      <c r="A26" s="145" t="s">
        <v>57</v>
      </c>
      <c r="B26" s="146">
        <v>30</v>
      </c>
      <c r="C26" s="147" t="s">
        <v>767</v>
      </c>
      <c r="D26" s="147" t="s">
        <v>768</v>
      </c>
      <c r="E26" s="143">
        <v>2150</v>
      </c>
      <c r="F26" s="143">
        <v>2191</v>
      </c>
      <c r="G26" s="143">
        <v>3012</v>
      </c>
      <c r="H26" s="143">
        <v>3072</v>
      </c>
      <c r="I26" s="143">
        <v>3072</v>
      </c>
      <c r="J26" s="143">
        <v>3072</v>
      </c>
      <c r="K26" s="143">
        <v>3400</v>
      </c>
      <c r="L26" s="143">
        <v>3400</v>
      </c>
      <c r="M26" s="143">
        <v>4166</v>
      </c>
      <c r="N26" s="143">
        <v>4171</v>
      </c>
      <c r="O26" s="143">
        <v>4818</v>
      </c>
      <c r="P26" s="143">
        <v>2553.0532850627073</v>
      </c>
      <c r="Q26" s="144">
        <v>2601.0301253189191</v>
      </c>
      <c r="R26" s="144">
        <v>4551</v>
      </c>
      <c r="S26" s="144">
        <v>4551</v>
      </c>
      <c r="T26" s="144">
        <v>4618</v>
      </c>
      <c r="U26" s="144">
        <v>4578.0830170464751</v>
      </c>
      <c r="V26" s="144">
        <v>4651.3323453192188</v>
      </c>
      <c r="W26" s="163">
        <v>4355.0054040019113</v>
      </c>
      <c r="X26" s="163">
        <v>4657.9913011418748</v>
      </c>
      <c r="Y26" s="163">
        <v>4658</v>
      </c>
    </row>
    <row r="27" spans="1:25" ht="15" x14ac:dyDescent="0.2">
      <c r="A27" s="145" t="s">
        <v>57</v>
      </c>
      <c r="B27" s="146">
        <v>4461</v>
      </c>
      <c r="C27" s="147" t="s">
        <v>90</v>
      </c>
      <c r="D27" s="147" t="s">
        <v>768</v>
      </c>
      <c r="E27" s="143">
        <v>5735</v>
      </c>
      <c r="F27" s="143">
        <v>4377</v>
      </c>
      <c r="G27" s="143">
        <v>4377</v>
      </c>
      <c r="H27" s="143">
        <v>4405</v>
      </c>
      <c r="I27" s="143">
        <v>6075</v>
      </c>
      <c r="J27" s="143">
        <v>6234</v>
      </c>
      <c r="K27" s="143">
        <v>6234</v>
      </c>
      <c r="L27" s="143">
        <v>6150</v>
      </c>
      <c r="M27" s="143">
        <v>6150</v>
      </c>
      <c r="N27" s="143">
        <v>6114</v>
      </c>
      <c r="O27" s="143">
        <v>6206</v>
      </c>
      <c r="P27" s="143">
        <v>6490.2872583359649</v>
      </c>
      <c r="Q27" s="144">
        <v>6498.8219700823402</v>
      </c>
      <c r="R27" s="144">
        <v>6358</v>
      </c>
      <c r="S27" s="144">
        <v>6490</v>
      </c>
      <c r="T27" s="144">
        <v>6400</v>
      </c>
      <c r="U27" s="144">
        <v>6329.8401614686682</v>
      </c>
      <c r="V27" s="144">
        <v>6397</v>
      </c>
      <c r="W27" s="163">
        <v>6378</v>
      </c>
      <c r="X27" s="163">
        <v>6490.1482385070567</v>
      </c>
      <c r="Y27" s="163">
        <v>6776</v>
      </c>
    </row>
    <row r="28" spans="1:25" ht="15" x14ac:dyDescent="0.2">
      <c r="A28" s="145" t="s">
        <v>57</v>
      </c>
      <c r="B28" s="146">
        <v>7658</v>
      </c>
      <c r="C28" s="147" t="s">
        <v>16</v>
      </c>
      <c r="D28" s="147" t="s">
        <v>768</v>
      </c>
      <c r="E28" s="143">
        <v>1531</v>
      </c>
      <c r="F28" s="143">
        <v>1560</v>
      </c>
      <c r="G28" s="143">
        <v>1642</v>
      </c>
      <c r="H28" s="143">
        <v>1662</v>
      </c>
      <c r="I28" s="143">
        <v>1662</v>
      </c>
      <c r="J28" s="143">
        <v>1662</v>
      </c>
      <c r="K28" s="143">
        <v>1640</v>
      </c>
      <c r="L28" s="143">
        <v>1640</v>
      </c>
      <c r="M28" s="143">
        <v>1549</v>
      </c>
      <c r="N28" s="143">
        <v>2430</v>
      </c>
      <c r="O28" s="143">
        <v>2530</v>
      </c>
      <c r="P28" s="143">
        <v>2465.7500350828122</v>
      </c>
      <c r="Q28" s="144">
        <v>2846.2670158054689</v>
      </c>
      <c r="R28" s="144">
        <v>2846</v>
      </c>
      <c r="S28" s="144">
        <v>2852</v>
      </c>
      <c r="T28" s="144">
        <v>2493</v>
      </c>
      <c r="U28" s="144">
        <v>2496.1913935406251</v>
      </c>
      <c r="V28" s="144">
        <v>2496.1913935406251</v>
      </c>
      <c r="W28" s="163">
        <v>2499</v>
      </c>
      <c r="X28" s="163">
        <v>2499</v>
      </c>
      <c r="Y28" s="163">
        <v>2505</v>
      </c>
    </row>
    <row r="29" spans="1:25" ht="15" x14ac:dyDescent="0.2">
      <c r="A29" s="145" t="s">
        <v>57</v>
      </c>
      <c r="B29" s="146">
        <v>13026</v>
      </c>
      <c r="C29" s="147" t="s">
        <v>769</v>
      </c>
      <c r="D29" s="147" t="s">
        <v>768</v>
      </c>
      <c r="E29" s="143" t="s">
        <v>840</v>
      </c>
      <c r="F29" s="143" t="s">
        <v>840</v>
      </c>
      <c r="G29" s="143" t="s">
        <v>840</v>
      </c>
      <c r="H29" s="143" t="s">
        <v>840</v>
      </c>
      <c r="I29" s="143" t="s">
        <v>840</v>
      </c>
      <c r="J29" s="143" t="s">
        <v>840</v>
      </c>
      <c r="K29" s="143" t="s">
        <v>840</v>
      </c>
      <c r="L29" s="143">
        <v>869</v>
      </c>
      <c r="M29" s="143">
        <v>869</v>
      </c>
      <c r="N29" s="143">
        <v>886</v>
      </c>
      <c r="O29" s="143">
        <v>796</v>
      </c>
      <c r="P29" s="143">
        <v>2415.4886060922267</v>
      </c>
      <c r="Q29" s="144">
        <v>2383</v>
      </c>
      <c r="R29" s="144">
        <v>2476</v>
      </c>
      <c r="S29" s="144">
        <v>2601</v>
      </c>
      <c r="T29" s="144">
        <v>2644</v>
      </c>
      <c r="U29" s="144">
        <v>2767</v>
      </c>
      <c r="V29" s="144">
        <v>2900.7916984693561</v>
      </c>
      <c r="W29" s="163">
        <v>2898.0021830243695</v>
      </c>
      <c r="X29" s="163">
        <v>2912.9619671736637</v>
      </c>
      <c r="Y29" s="163">
        <v>3038</v>
      </c>
    </row>
    <row r="30" spans="1:25" ht="15" x14ac:dyDescent="0.2">
      <c r="A30" s="145" t="s">
        <v>26</v>
      </c>
      <c r="B30" s="146">
        <v>2179</v>
      </c>
      <c r="C30" s="141" t="s">
        <v>770</v>
      </c>
      <c r="D30" s="141" t="s">
        <v>759</v>
      </c>
      <c r="E30" s="143">
        <v>585</v>
      </c>
      <c r="F30" s="143">
        <v>601</v>
      </c>
      <c r="G30" s="143">
        <v>617</v>
      </c>
      <c r="H30" s="143">
        <v>633</v>
      </c>
      <c r="I30" s="143" t="s">
        <v>840</v>
      </c>
      <c r="J30" s="143" t="s">
        <v>840</v>
      </c>
      <c r="K30" s="143" t="s">
        <v>840</v>
      </c>
      <c r="L30" s="143">
        <v>724</v>
      </c>
      <c r="M30" s="143">
        <v>810</v>
      </c>
      <c r="N30" s="143">
        <v>757</v>
      </c>
      <c r="O30" s="143">
        <v>739</v>
      </c>
      <c r="P30" s="143">
        <v>756.76942743551501</v>
      </c>
      <c r="Q30" s="144">
        <v>754.35933371756744</v>
      </c>
      <c r="R30" s="144">
        <v>754</v>
      </c>
      <c r="T30" t="s">
        <v>794</v>
      </c>
      <c r="U30" s="144" t="s">
        <v>794</v>
      </c>
      <c r="V30" s="144" t="s">
        <v>794</v>
      </c>
      <c r="W30" s="163" t="s">
        <v>794</v>
      </c>
      <c r="X30" s="163" t="s">
        <v>794</v>
      </c>
      <c r="Y30" s="163" t="s">
        <v>794</v>
      </c>
    </row>
    <row r="31" spans="1:25" ht="15" x14ac:dyDescent="0.2">
      <c r="A31" s="145" t="s">
        <v>26</v>
      </c>
      <c r="B31" s="146">
        <v>2983</v>
      </c>
      <c r="C31" s="141" t="s">
        <v>770</v>
      </c>
      <c r="D31" s="141" t="s">
        <v>759</v>
      </c>
      <c r="E31" s="143">
        <v>37789</v>
      </c>
      <c r="F31" s="143">
        <v>38847</v>
      </c>
      <c r="G31" s="143">
        <v>39935</v>
      </c>
      <c r="H31" s="143">
        <v>40496</v>
      </c>
      <c r="I31" s="143">
        <v>121843</v>
      </c>
      <c r="J31" s="143">
        <v>127429</v>
      </c>
      <c r="K31" s="143">
        <v>131157</v>
      </c>
      <c r="L31" s="143">
        <v>127312</v>
      </c>
      <c r="M31" s="143">
        <v>113335</v>
      </c>
      <c r="N31" s="143">
        <v>124442</v>
      </c>
      <c r="O31" s="143">
        <v>126040</v>
      </c>
      <c r="P31" s="143">
        <v>127985.74597868469</v>
      </c>
      <c r="Q31" s="144">
        <v>128792.00206040712</v>
      </c>
      <c r="R31" s="144">
        <v>128872</v>
      </c>
      <c r="T31" t="s">
        <v>794</v>
      </c>
      <c r="U31" s="144" t="s">
        <v>794</v>
      </c>
      <c r="V31" s="144" t="s">
        <v>794</v>
      </c>
      <c r="W31" s="163" t="s">
        <v>794</v>
      </c>
      <c r="X31" s="163" t="s">
        <v>794</v>
      </c>
      <c r="Y31" s="163" t="s">
        <v>794</v>
      </c>
    </row>
    <row r="32" spans="1:25" ht="15" x14ac:dyDescent="0.2">
      <c r="A32" s="145" t="s">
        <v>26</v>
      </c>
      <c r="B32" s="146">
        <v>5789</v>
      </c>
      <c r="C32" s="141" t="s">
        <v>770</v>
      </c>
      <c r="D32" s="141" t="s">
        <v>759</v>
      </c>
      <c r="E32" s="143">
        <v>4287</v>
      </c>
      <c r="F32" s="143">
        <v>4407</v>
      </c>
      <c r="G32" s="143">
        <v>4530</v>
      </c>
      <c r="H32" s="143">
        <v>5000</v>
      </c>
      <c r="I32" s="143">
        <v>7633</v>
      </c>
      <c r="J32" s="143">
        <v>7923</v>
      </c>
      <c r="K32" s="143">
        <v>7628</v>
      </c>
      <c r="L32" s="143">
        <v>6902</v>
      </c>
      <c r="M32" s="143">
        <v>7440</v>
      </c>
      <c r="N32" s="143">
        <v>7159</v>
      </c>
      <c r="O32" s="143">
        <v>7784</v>
      </c>
      <c r="P32" s="143">
        <v>7403.0670802314007</v>
      </c>
      <c r="Q32" s="144">
        <f>7540.88189509111+Q30+Q31+Q34</f>
        <v>137135.96688635499</v>
      </c>
      <c r="R32" s="144">
        <f>7727+R30+R31+R34</f>
        <v>137402</v>
      </c>
      <c r="S32" s="144">
        <v>139831</v>
      </c>
      <c r="T32" s="144">
        <v>141263</v>
      </c>
      <c r="U32" s="144">
        <v>143023.99515816916</v>
      </c>
      <c r="V32" s="144">
        <v>144783.04497640612</v>
      </c>
      <c r="W32" s="163">
        <v>146373.85559443885</v>
      </c>
      <c r="X32" s="163">
        <v>149003.1910685882</v>
      </c>
      <c r="Y32" s="163">
        <v>151827</v>
      </c>
    </row>
    <row r="33" spans="1:25" ht="15" x14ac:dyDescent="0.2">
      <c r="A33" s="145" t="s">
        <v>26</v>
      </c>
      <c r="B33" s="146">
        <v>7627</v>
      </c>
      <c r="C33" s="141" t="s">
        <v>59</v>
      </c>
      <c r="D33" s="141" t="s">
        <v>759</v>
      </c>
      <c r="E33" s="143">
        <v>11913</v>
      </c>
      <c r="F33" s="143">
        <v>12247</v>
      </c>
      <c r="G33" s="143">
        <v>12590</v>
      </c>
      <c r="H33" s="143">
        <v>12590</v>
      </c>
      <c r="I33" s="143">
        <v>12590</v>
      </c>
      <c r="J33" s="143">
        <v>13418</v>
      </c>
      <c r="K33" s="143">
        <v>14787</v>
      </c>
      <c r="L33" s="143">
        <v>14787</v>
      </c>
      <c r="M33" s="143">
        <v>14327</v>
      </c>
      <c r="N33" s="143">
        <v>12588</v>
      </c>
      <c r="O33" s="143">
        <v>14710.21503377262</v>
      </c>
      <c r="P33" s="143">
        <v>16378.038245711981</v>
      </c>
      <c r="Q33" s="144">
        <v>16302.742673291123</v>
      </c>
      <c r="R33" s="144">
        <v>16262</v>
      </c>
      <c r="S33" s="144">
        <v>15036</v>
      </c>
      <c r="T33" s="144">
        <v>14726</v>
      </c>
      <c r="U33" s="144">
        <v>15708.376051776579</v>
      </c>
      <c r="V33" s="144">
        <v>16708</v>
      </c>
      <c r="W33" s="163">
        <v>19876.003101770562</v>
      </c>
      <c r="X33" s="163">
        <v>18308.178008535167</v>
      </c>
      <c r="Y33" s="163">
        <v>17232</v>
      </c>
    </row>
    <row r="34" spans="1:25" ht="15" x14ac:dyDescent="0.2">
      <c r="A34" s="145" t="s">
        <v>26</v>
      </c>
      <c r="B34" s="146">
        <v>12011</v>
      </c>
      <c r="C34" s="141" t="s">
        <v>770</v>
      </c>
      <c r="D34" s="141" t="s">
        <v>759</v>
      </c>
      <c r="E34" s="143" t="s">
        <v>840</v>
      </c>
      <c r="F34" s="143" t="s">
        <v>840</v>
      </c>
      <c r="G34" s="143" t="s">
        <v>840</v>
      </c>
      <c r="H34" s="143" t="s">
        <v>840</v>
      </c>
      <c r="I34" s="143" t="s">
        <v>840</v>
      </c>
      <c r="J34" s="143" t="s">
        <v>840</v>
      </c>
      <c r="K34" s="143" t="s">
        <v>840</v>
      </c>
      <c r="L34" s="143">
        <v>44</v>
      </c>
      <c r="M34" s="143">
        <v>44</v>
      </c>
      <c r="N34" s="143">
        <v>46</v>
      </c>
      <c r="O34" s="143">
        <v>50</v>
      </c>
      <c r="P34" s="143">
        <v>48.723597139217496</v>
      </c>
      <c r="Q34" s="144">
        <v>48.723597139217496</v>
      </c>
      <c r="R34" s="144">
        <v>49</v>
      </c>
      <c r="S34" s="144"/>
      <c r="T34" s="144" t="s">
        <v>794</v>
      </c>
      <c r="U34" s="144" t="s">
        <v>794</v>
      </c>
      <c r="V34" s="144" t="s">
        <v>794</v>
      </c>
      <c r="W34" s="163" t="s">
        <v>794</v>
      </c>
      <c r="X34" s="163" t="s">
        <v>794</v>
      </c>
      <c r="Y34" s="163" t="s">
        <v>794</v>
      </c>
    </row>
    <row r="35" spans="1:25" ht="15" x14ac:dyDescent="0.2">
      <c r="A35" s="141" t="s">
        <v>27</v>
      </c>
      <c r="B35" s="142">
        <v>4167</v>
      </c>
      <c r="C35" s="141" t="s">
        <v>771</v>
      </c>
      <c r="D35" s="141" t="s">
        <v>768</v>
      </c>
      <c r="E35" s="143">
        <v>1135</v>
      </c>
      <c r="F35" s="143">
        <v>1135</v>
      </c>
      <c r="G35" s="143">
        <v>1135</v>
      </c>
      <c r="H35" s="143">
        <v>1332</v>
      </c>
      <c r="I35" s="143">
        <v>1431</v>
      </c>
      <c r="J35" s="143">
        <v>1431</v>
      </c>
      <c r="K35" s="143">
        <v>1431</v>
      </c>
      <c r="L35" s="143">
        <v>1431</v>
      </c>
      <c r="M35" s="143">
        <v>1431</v>
      </c>
      <c r="N35" s="143">
        <v>1361</v>
      </c>
      <c r="O35" s="143">
        <v>1373.7352380559726</v>
      </c>
      <c r="P35" s="143">
        <v>1255.9771154882812</v>
      </c>
      <c r="Q35" s="144">
        <v>1289.6624206007814</v>
      </c>
      <c r="R35" s="144">
        <v>1340</v>
      </c>
      <c r="S35" s="144">
        <v>1419</v>
      </c>
      <c r="T35" s="144">
        <v>1488</v>
      </c>
      <c r="U35" s="144">
        <v>1505.1566882624998</v>
      </c>
      <c r="V35" s="144">
        <v>1334</v>
      </c>
      <c r="W35" s="163">
        <v>1407</v>
      </c>
      <c r="X35" s="163">
        <v>1381.8783508132044</v>
      </c>
      <c r="Y35" s="163">
        <v>1404</v>
      </c>
    </row>
    <row r="36" spans="1:25" ht="15" x14ac:dyDescent="0.2">
      <c r="A36" s="141" t="s">
        <v>27</v>
      </c>
      <c r="B36" s="142">
        <v>4492</v>
      </c>
      <c r="C36" s="141" t="s">
        <v>85</v>
      </c>
      <c r="D36" s="141" t="s">
        <v>768</v>
      </c>
      <c r="E36" s="143">
        <v>27923</v>
      </c>
      <c r="F36" s="143">
        <v>30529</v>
      </c>
      <c r="G36" s="143">
        <v>32091</v>
      </c>
      <c r="H36" s="143">
        <v>32739</v>
      </c>
      <c r="I36" s="143">
        <v>33546</v>
      </c>
      <c r="J36" s="143">
        <v>39878</v>
      </c>
      <c r="K36" s="143">
        <v>34532</v>
      </c>
      <c r="L36" s="143">
        <v>34049</v>
      </c>
      <c r="M36" s="143">
        <v>34049</v>
      </c>
      <c r="N36" s="143">
        <v>30863</v>
      </c>
      <c r="O36" s="143">
        <v>33229</v>
      </c>
      <c r="P36" s="143">
        <v>33477.42431398113</v>
      </c>
      <c r="Q36" s="144">
        <v>33437.787722110494</v>
      </c>
      <c r="R36" s="144">
        <v>34639</v>
      </c>
      <c r="S36" s="144">
        <v>34535</v>
      </c>
      <c r="T36" s="144">
        <v>36059</v>
      </c>
      <c r="U36" s="144">
        <v>37232</v>
      </c>
      <c r="V36" s="144">
        <v>37306.038580483189</v>
      </c>
      <c r="W36" s="163">
        <v>36857</v>
      </c>
      <c r="X36" s="163">
        <v>33923.043060566932</v>
      </c>
      <c r="Y36" s="163">
        <v>35743</v>
      </c>
    </row>
    <row r="37" spans="1:25" ht="15" x14ac:dyDescent="0.2">
      <c r="A37" s="141" t="s">
        <v>27</v>
      </c>
      <c r="B37" s="142">
        <v>4980</v>
      </c>
      <c r="C37" s="141" t="s">
        <v>122</v>
      </c>
      <c r="D37" s="141" t="s">
        <v>768</v>
      </c>
      <c r="E37" s="143">
        <v>2499</v>
      </c>
      <c r="F37" s="143">
        <v>2572</v>
      </c>
      <c r="G37" s="143">
        <v>2755</v>
      </c>
      <c r="H37" s="143">
        <v>2899</v>
      </c>
      <c r="I37" s="143">
        <v>3085</v>
      </c>
      <c r="J37" s="143">
        <v>3274</v>
      </c>
      <c r="K37" s="143">
        <v>3351</v>
      </c>
      <c r="L37" s="143">
        <v>3369</v>
      </c>
      <c r="M37" s="143">
        <v>3757</v>
      </c>
      <c r="N37" s="143">
        <v>3762</v>
      </c>
      <c r="O37" s="143">
        <v>4377</v>
      </c>
      <c r="P37" s="143">
        <v>4406.8387287740807</v>
      </c>
      <c r="Q37" s="144">
        <v>4406.8387287740807</v>
      </c>
      <c r="R37" s="144">
        <v>4344</v>
      </c>
      <c r="S37" s="144">
        <v>4340</v>
      </c>
      <c r="T37" s="144">
        <v>4340</v>
      </c>
      <c r="U37" s="144">
        <v>4366.5299839044501</v>
      </c>
      <c r="V37" s="144">
        <v>4415.2932629125198</v>
      </c>
      <c r="W37" s="163">
        <v>4459.6236868382184</v>
      </c>
      <c r="X37" s="163">
        <v>4537.2015972012023</v>
      </c>
      <c r="Y37" s="163">
        <v>4670</v>
      </c>
    </row>
    <row r="38" spans="1:25" ht="15" x14ac:dyDescent="0.2">
      <c r="A38" s="141" t="s">
        <v>27</v>
      </c>
      <c r="B38" s="142">
        <v>5270</v>
      </c>
      <c r="C38" s="141" t="s">
        <v>169</v>
      </c>
      <c r="D38" s="141" t="s">
        <v>768</v>
      </c>
      <c r="E38" s="143">
        <v>4160</v>
      </c>
      <c r="F38" s="143">
        <v>3087</v>
      </c>
      <c r="G38" s="143">
        <v>3280</v>
      </c>
      <c r="H38" s="143">
        <v>3500</v>
      </c>
      <c r="I38" s="143">
        <v>4040</v>
      </c>
      <c r="J38" s="143">
        <v>4045</v>
      </c>
      <c r="K38" s="143">
        <v>3765</v>
      </c>
      <c r="L38" s="143">
        <v>3457</v>
      </c>
      <c r="M38" s="143">
        <v>3056</v>
      </c>
      <c r="N38" s="143">
        <v>3211</v>
      </c>
      <c r="O38" s="143">
        <v>3168</v>
      </c>
      <c r="P38" s="143">
        <v>4127.5809717815755</v>
      </c>
      <c r="Q38" s="144">
        <v>3896.8590930766777</v>
      </c>
      <c r="R38" s="144">
        <v>6892</v>
      </c>
      <c r="S38" s="144">
        <v>7071</v>
      </c>
      <c r="T38" s="144">
        <v>7172</v>
      </c>
      <c r="U38" s="144">
        <v>7234</v>
      </c>
      <c r="V38" s="144">
        <v>7289</v>
      </c>
      <c r="W38" s="163">
        <v>7315.1161180249828</v>
      </c>
      <c r="X38" s="163">
        <v>7395.0696288295812</v>
      </c>
      <c r="Y38" s="163">
        <v>7170</v>
      </c>
    </row>
    <row r="39" spans="1:25" ht="15" x14ac:dyDescent="0.2">
      <c r="A39" s="141" t="s">
        <v>27</v>
      </c>
      <c r="B39" s="142">
        <v>6029</v>
      </c>
      <c r="C39" s="141" t="s">
        <v>54</v>
      </c>
      <c r="D39" s="141" t="s">
        <v>768</v>
      </c>
      <c r="E39" s="143">
        <v>14393</v>
      </c>
      <c r="F39" s="143">
        <v>14150</v>
      </c>
      <c r="G39" s="143">
        <v>17691</v>
      </c>
      <c r="H39" s="143">
        <v>17691</v>
      </c>
      <c r="I39" s="143">
        <v>17691</v>
      </c>
      <c r="J39" s="143">
        <v>17122</v>
      </c>
      <c r="K39" s="143">
        <v>17539</v>
      </c>
      <c r="L39" s="143">
        <v>17539</v>
      </c>
      <c r="M39" s="143">
        <v>16806</v>
      </c>
      <c r="N39" s="143">
        <v>15252</v>
      </c>
      <c r="O39" s="143">
        <v>19065</v>
      </c>
      <c r="P39" s="143">
        <v>20489.839269932476</v>
      </c>
      <c r="Q39" s="144">
        <v>21225.438862579977</v>
      </c>
      <c r="R39" s="144">
        <v>21488</v>
      </c>
      <c r="S39" s="144">
        <v>21660</v>
      </c>
      <c r="T39" s="144">
        <v>21995</v>
      </c>
      <c r="U39" s="144">
        <v>22149.169706064229</v>
      </c>
      <c r="V39" s="144">
        <v>22356.091580252134</v>
      </c>
      <c r="W39" s="163">
        <v>22456.879951019604</v>
      </c>
      <c r="X39" s="163">
        <v>22645.061707407211</v>
      </c>
      <c r="Y39" s="163">
        <v>22789</v>
      </c>
    </row>
    <row r="40" spans="1:25" ht="15" x14ac:dyDescent="0.2">
      <c r="A40" s="141" t="s">
        <v>27</v>
      </c>
      <c r="B40" s="142">
        <v>6326</v>
      </c>
      <c r="C40" s="141" t="s">
        <v>169</v>
      </c>
      <c r="D40" s="141" t="s">
        <v>768</v>
      </c>
      <c r="E40" s="143">
        <v>1819</v>
      </c>
      <c r="F40" s="143">
        <v>1846</v>
      </c>
      <c r="G40" s="143">
        <v>2515</v>
      </c>
      <c r="H40" s="143">
        <v>2515</v>
      </c>
      <c r="I40" s="143">
        <v>2515</v>
      </c>
      <c r="J40" s="143">
        <v>2515</v>
      </c>
      <c r="K40" s="143">
        <v>2515</v>
      </c>
      <c r="L40" s="143">
        <v>1995</v>
      </c>
      <c r="M40" s="143">
        <v>1995</v>
      </c>
      <c r="N40" s="143">
        <v>2032</v>
      </c>
      <c r="O40" s="143">
        <v>2352</v>
      </c>
      <c r="P40" s="143">
        <v>2308.2237455776249</v>
      </c>
      <c r="Q40" s="144">
        <v>2284.2510394486212</v>
      </c>
      <c r="R40" s="144" t="s">
        <v>794</v>
      </c>
      <c r="S40" s="144" t="s">
        <v>794</v>
      </c>
      <c r="T40" s="144" t="s">
        <v>794</v>
      </c>
      <c r="U40" s="144" t="s">
        <v>794</v>
      </c>
      <c r="V40" s="144" t="s">
        <v>794</v>
      </c>
      <c r="W40" s="163" t="s">
        <v>794</v>
      </c>
      <c r="X40" s="163" t="s">
        <v>794</v>
      </c>
      <c r="Y40" s="163" t="s">
        <v>794</v>
      </c>
    </row>
    <row r="41" spans="1:25" ht="15" x14ac:dyDescent="0.2">
      <c r="A41" s="141" t="s">
        <v>27</v>
      </c>
      <c r="B41" s="142">
        <v>7139</v>
      </c>
      <c r="C41" s="141" t="s">
        <v>41</v>
      </c>
      <c r="D41" s="141" t="s">
        <v>768</v>
      </c>
      <c r="E41" s="143">
        <v>1420</v>
      </c>
      <c r="F41" s="143">
        <v>1936</v>
      </c>
      <c r="G41" s="143">
        <v>1615</v>
      </c>
      <c r="H41" s="143">
        <v>1700</v>
      </c>
      <c r="I41" s="143">
        <v>1932</v>
      </c>
      <c r="J41" s="143">
        <v>2000</v>
      </c>
      <c r="K41" s="143">
        <v>2000</v>
      </c>
      <c r="L41" s="143">
        <v>2000</v>
      </c>
      <c r="M41" s="143">
        <v>2006</v>
      </c>
      <c r="N41" s="143">
        <v>1624</v>
      </c>
      <c r="O41" s="143">
        <v>1610</v>
      </c>
      <c r="P41" s="143">
        <v>1615.5814239188812</v>
      </c>
      <c r="Q41" s="144">
        <v>1618</v>
      </c>
      <c r="R41" s="144">
        <v>1636</v>
      </c>
      <c r="S41" s="144">
        <v>1664</v>
      </c>
      <c r="T41" s="144">
        <v>1646</v>
      </c>
      <c r="U41" s="144">
        <v>1646</v>
      </c>
      <c r="V41" s="144">
        <v>1646</v>
      </c>
      <c r="W41" s="163">
        <v>1664</v>
      </c>
      <c r="X41" s="163">
        <v>1630.7276671415866</v>
      </c>
      <c r="Y41" s="163">
        <v>1631</v>
      </c>
    </row>
    <row r="42" spans="1:25" ht="15" x14ac:dyDescent="0.2">
      <c r="A42" s="141" t="s">
        <v>27</v>
      </c>
      <c r="B42" s="142">
        <v>7704</v>
      </c>
      <c r="C42" s="141" t="s">
        <v>772</v>
      </c>
      <c r="D42" s="141" t="s">
        <v>768</v>
      </c>
      <c r="E42" s="143">
        <v>611</v>
      </c>
      <c r="F42" s="143">
        <v>653</v>
      </c>
      <c r="G42" s="143">
        <v>701</v>
      </c>
      <c r="H42" s="143">
        <v>746</v>
      </c>
      <c r="I42" s="143">
        <v>837</v>
      </c>
      <c r="J42" s="143">
        <v>924</v>
      </c>
      <c r="K42" s="143">
        <v>938</v>
      </c>
      <c r="L42" s="143">
        <v>949</v>
      </c>
      <c r="M42" s="143">
        <v>998</v>
      </c>
      <c r="N42" s="143">
        <v>848</v>
      </c>
      <c r="O42" s="143">
        <v>897.08599131872506</v>
      </c>
      <c r="P42" s="143">
        <v>907.79177774379991</v>
      </c>
      <c r="Q42" s="144">
        <v>906.77359453294991</v>
      </c>
      <c r="R42" s="144">
        <v>840</v>
      </c>
      <c r="S42">
        <v>840</v>
      </c>
      <c r="T42" t="s">
        <v>794</v>
      </c>
      <c r="U42" s="144">
        <v>840</v>
      </c>
      <c r="V42" s="144" t="s">
        <v>794</v>
      </c>
      <c r="W42" s="163" t="s">
        <v>794</v>
      </c>
      <c r="X42" s="163" t="s">
        <v>794</v>
      </c>
      <c r="Y42" s="163" t="s">
        <v>794</v>
      </c>
    </row>
    <row r="43" spans="1:25" ht="15" x14ac:dyDescent="0.2">
      <c r="A43" s="141" t="s">
        <v>27</v>
      </c>
      <c r="B43" s="142">
        <v>9140</v>
      </c>
      <c r="C43" s="141" t="s">
        <v>773</v>
      </c>
      <c r="D43" s="141" t="s">
        <v>768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3">
        <v>0</v>
      </c>
      <c r="L43" s="143">
        <v>0</v>
      </c>
      <c r="M43" s="143">
        <v>0</v>
      </c>
      <c r="N43" s="143">
        <v>0</v>
      </c>
      <c r="O43" s="143" t="s">
        <v>794</v>
      </c>
      <c r="P43" s="143" t="s">
        <v>794</v>
      </c>
      <c r="Q43" s="144"/>
      <c r="R43" s="148" t="s">
        <v>794</v>
      </c>
      <c r="S43" s="148" t="s">
        <v>794</v>
      </c>
      <c r="T43" s="148">
        <v>0</v>
      </c>
      <c r="U43" s="144" t="s">
        <v>794</v>
      </c>
      <c r="V43" s="144" t="s">
        <v>794</v>
      </c>
      <c r="W43" s="163" t="s">
        <v>794</v>
      </c>
      <c r="X43" s="163" t="s">
        <v>794</v>
      </c>
      <c r="Y43" s="163" t="s">
        <v>794</v>
      </c>
    </row>
    <row r="44" spans="1:25" ht="15" x14ac:dyDescent="0.2">
      <c r="A44" s="141" t="s">
        <v>27</v>
      </c>
      <c r="B44" s="142">
        <v>9490</v>
      </c>
      <c r="C44" s="141" t="s">
        <v>774</v>
      </c>
      <c r="D44" s="141" t="s">
        <v>768</v>
      </c>
      <c r="E44" s="143">
        <v>470</v>
      </c>
      <c r="F44" s="143">
        <v>575</v>
      </c>
      <c r="G44" s="143">
        <v>600</v>
      </c>
      <c r="H44" s="143">
        <v>600</v>
      </c>
      <c r="I44" s="143">
        <v>536</v>
      </c>
      <c r="J44" s="143">
        <v>543</v>
      </c>
      <c r="K44" s="143">
        <v>1266</v>
      </c>
      <c r="L44" s="143">
        <v>536</v>
      </c>
      <c r="M44" s="143">
        <v>527</v>
      </c>
      <c r="N44" s="143">
        <v>763</v>
      </c>
      <c r="O44" s="143">
        <v>729</v>
      </c>
      <c r="P44" s="143">
        <v>518.29706229222256</v>
      </c>
      <c r="Q44" s="144">
        <v>704.26411454325239</v>
      </c>
      <c r="R44" s="144">
        <v>735</v>
      </c>
      <c r="S44" s="144">
        <v>735</v>
      </c>
      <c r="T44" s="144">
        <v>733</v>
      </c>
      <c r="U44" s="144" t="s">
        <v>794</v>
      </c>
      <c r="V44" s="144" t="s">
        <v>794</v>
      </c>
      <c r="W44" s="163" t="s">
        <v>794</v>
      </c>
      <c r="X44" s="163" t="s">
        <v>794</v>
      </c>
      <c r="Y44" s="163" t="s">
        <v>794</v>
      </c>
    </row>
    <row r="45" spans="1:25" ht="15" x14ac:dyDescent="0.2">
      <c r="A45" s="141" t="s">
        <v>27</v>
      </c>
      <c r="B45" s="142">
        <v>11609</v>
      </c>
      <c r="C45" s="141" t="s">
        <v>169</v>
      </c>
      <c r="D45" s="141" t="s">
        <v>768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>
        <v>0</v>
      </c>
      <c r="L45" s="143">
        <v>625</v>
      </c>
      <c r="M45" s="143">
        <v>625</v>
      </c>
      <c r="N45" s="143">
        <v>654</v>
      </c>
      <c r="O45" s="143">
        <v>902</v>
      </c>
      <c r="P45" s="143">
        <v>849.30182163105997</v>
      </c>
      <c r="Q45" s="144">
        <v>706.84435944098004</v>
      </c>
      <c r="R45" s="144" t="s">
        <v>794</v>
      </c>
      <c r="S45" s="144" t="s">
        <v>794</v>
      </c>
      <c r="T45" s="144" t="s">
        <v>794</v>
      </c>
      <c r="U45" s="144" t="s">
        <v>794</v>
      </c>
      <c r="V45" s="144" t="s">
        <v>794</v>
      </c>
      <c r="W45" s="163" t="s">
        <v>794</v>
      </c>
      <c r="X45" s="163" t="s">
        <v>794</v>
      </c>
      <c r="Y45" s="163" t="s">
        <v>794</v>
      </c>
    </row>
    <row r="46" spans="1:25" ht="15" x14ac:dyDescent="0.2">
      <c r="A46" s="141" t="s">
        <v>27</v>
      </c>
      <c r="B46" s="142">
        <v>13099</v>
      </c>
      <c r="C46" s="141" t="s">
        <v>775</v>
      </c>
      <c r="D46" s="141" t="s">
        <v>768</v>
      </c>
      <c r="E46" s="143" t="s">
        <v>840</v>
      </c>
      <c r="F46" s="143" t="s">
        <v>840</v>
      </c>
      <c r="G46" s="143" t="s">
        <v>840</v>
      </c>
      <c r="H46" s="143" t="s">
        <v>840</v>
      </c>
      <c r="I46" s="143" t="s">
        <v>840</v>
      </c>
      <c r="J46" s="143" t="s">
        <v>840</v>
      </c>
      <c r="K46" s="143">
        <v>7617</v>
      </c>
      <c r="L46" s="143">
        <v>7121</v>
      </c>
      <c r="M46" s="143">
        <v>7102</v>
      </c>
      <c r="N46" s="143">
        <v>7042</v>
      </c>
      <c r="O46" s="143">
        <v>7060</v>
      </c>
      <c r="P46" s="143">
        <v>7298.0678798290955</v>
      </c>
      <c r="Q46" s="144">
        <v>7721.1805198290958</v>
      </c>
      <c r="R46" s="144">
        <v>7315</v>
      </c>
      <c r="S46" s="144">
        <v>7321</v>
      </c>
      <c r="T46" s="144">
        <v>7376</v>
      </c>
      <c r="U46" s="144">
        <v>7415.9238484924126</v>
      </c>
      <c r="V46" s="144">
        <v>7485.961104820929</v>
      </c>
      <c r="W46" s="163">
        <v>7542.1387238674461</v>
      </c>
      <c r="X46" s="163">
        <v>7723.760678175001</v>
      </c>
      <c r="Y46" s="163">
        <v>7977</v>
      </c>
    </row>
    <row r="47" spans="1:25" ht="15" x14ac:dyDescent="0.2">
      <c r="A47" s="141" t="s">
        <v>38</v>
      </c>
      <c r="B47" s="142">
        <v>450</v>
      </c>
      <c r="C47" s="141" t="s">
        <v>776</v>
      </c>
      <c r="D47" s="141" t="s">
        <v>777</v>
      </c>
      <c r="E47" s="143">
        <v>29550</v>
      </c>
      <c r="F47" s="143">
        <v>29887</v>
      </c>
      <c r="G47" s="143">
        <v>29914</v>
      </c>
      <c r="H47" s="143">
        <v>30993</v>
      </c>
      <c r="I47" s="143">
        <v>31577</v>
      </c>
      <c r="J47" s="143">
        <v>31895</v>
      </c>
      <c r="K47" s="143">
        <v>31909</v>
      </c>
      <c r="L47" s="143">
        <v>32354</v>
      </c>
      <c r="M47" s="143">
        <v>30784</v>
      </c>
      <c r="N47" s="143">
        <v>31612</v>
      </c>
      <c r="O47" s="143">
        <v>30465</v>
      </c>
      <c r="P47" s="143">
        <v>31263.930414579612</v>
      </c>
      <c r="Q47" s="144">
        <v>31060.818413639794</v>
      </c>
      <c r="R47" s="144">
        <v>31117</v>
      </c>
      <c r="S47" s="144">
        <v>31250</v>
      </c>
      <c r="T47" s="144">
        <v>34551</v>
      </c>
      <c r="U47" s="144">
        <v>30896</v>
      </c>
      <c r="V47" s="144">
        <v>30896</v>
      </c>
      <c r="W47" s="163">
        <v>31738.270810899099</v>
      </c>
      <c r="X47" s="163">
        <v>31340.8490721862</v>
      </c>
      <c r="Y47" s="163">
        <v>30825</v>
      </c>
    </row>
    <row r="48" spans="1:25" ht="15" x14ac:dyDescent="0.2">
      <c r="A48" s="141" t="s">
        <v>38</v>
      </c>
      <c r="B48" s="142">
        <v>1776</v>
      </c>
      <c r="C48" s="141" t="s">
        <v>778</v>
      </c>
      <c r="D48" s="141" t="s">
        <v>777</v>
      </c>
      <c r="E48" s="143">
        <v>33786</v>
      </c>
      <c r="F48" s="143">
        <v>34732</v>
      </c>
      <c r="G48" s="143">
        <v>36388</v>
      </c>
      <c r="H48" s="143">
        <v>34528</v>
      </c>
      <c r="I48" s="143">
        <v>35526</v>
      </c>
      <c r="J48" s="143">
        <v>35906</v>
      </c>
      <c r="K48" s="143">
        <v>37476</v>
      </c>
      <c r="L48" s="143">
        <v>36770</v>
      </c>
      <c r="M48" s="143">
        <v>37365</v>
      </c>
      <c r="N48" s="143">
        <v>37369</v>
      </c>
      <c r="O48" s="143">
        <v>38497</v>
      </c>
      <c r="P48" s="143">
        <v>37770.919837822235</v>
      </c>
      <c r="Q48" s="144">
        <v>38691</v>
      </c>
      <c r="R48" s="144">
        <v>39009</v>
      </c>
      <c r="S48" s="144">
        <v>38768</v>
      </c>
      <c r="T48" s="144">
        <v>39444</v>
      </c>
      <c r="U48" s="144">
        <v>40007</v>
      </c>
      <c r="V48" s="144">
        <v>40116</v>
      </c>
      <c r="W48" s="163">
        <v>40248</v>
      </c>
      <c r="X48" s="163">
        <v>41747</v>
      </c>
      <c r="Y48" s="163">
        <v>42056</v>
      </c>
    </row>
    <row r="49" spans="1:25" ht="15" x14ac:dyDescent="0.2">
      <c r="A49" s="141" t="s">
        <v>38</v>
      </c>
      <c r="B49" s="142">
        <v>2062</v>
      </c>
      <c r="C49" s="141" t="s">
        <v>86</v>
      </c>
      <c r="D49" s="141" t="s">
        <v>777</v>
      </c>
      <c r="E49" s="143">
        <v>521458</v>
      </c>
      <c r="F49" s="143">
        <v>548641</v>
      </c>
      <c r="G49" s="143">
        <v>590828</v>
      </c>
      <c r="H49" s="143">
        <v>605073</v>
      </c>
      <c r="I49" s="143">
        <v>655993</v>
      </c>
      <c r="J49" s="143">
        <v>647131</v>
      </c>
      <c r="K49" s="143">
        <v>653837</v>
      </c>
      <c r="L49" s="143">
        <v>657313</v>
      </c>
      <c r="M49" s="143">
        <v>648577</v>
      </c>
      <c r="N49" s="143">
        <v>559752</v>
      </c>
      <c r="O49" s="143">
        <v>587684</v>
      </c>
      <c r="P49" s="143">
        <v>587780.76917787653</v>
      </c>
      <c r="Q49" s="144">
        <v>590523</v>
      </c>
      <c r="R49" s="144">
        <v>594614</v>
      </c>
      <c r="S49" s="144">
        <v>598955</v>
      </c>
      <c r="T49" s="144">
        <v>611181</v>
      </c>
      <c r="U49" s="144">
        <v>619531.95891473349</v>
      </c>
      <c r="V49" s="144">
        <v>624793.72645363538</v>
      </c>
      <c r="W49" s="163">
        <v>716564</v>
      </c>
      <c r="X49" s="163">
        <v>719482</v>
      </c>
      <c r="Y49" s="163">
        <v>714114</v>
      </c>
    </row>
    <row r="50" spans="1:25" ht="15" x14ac:dyDescent="0.2">
      <c r="A50" s="141" t="s">
        <v>38</v>
      </c>
      <c r="B50" s="142">
        <v>2285</v>
      </c>
      <c r="C50" s="141" t="s">
        <v>779</v>
      </c>
      <c r="D50" s="141" t="s">
        <v>777</v>
      </c>
      <c r="E50" s="143">
        <v>1330</v>
      </c>
      <c r="F50" s="143">
        <v>938</v>
      </c>
      <c r="G50" s="143">
        <v>1295</v>
      </c>
      <c r="H50" s="143">
        <v>1330</v>
      </c>
      <c r="I50" s="143">
        <v>1325</v>
      </c>
      <c r="J50" s="143">
        <v>1325</v>
      </c>
      <c r="K50" s="143">
        <v>1325</v>
      </c>
      <c r="L50" s="143">
        <v>1326</v>
      </c>
      <c r="M50" s="143">
        <v>1104</v>
      </c>
      <c r="N50" s="143">
        <v>1088</v>
      </c>
      <c r="O50" s="143">
        <v>1135</v>
      </c>
      <c r="P50" s="143">
        <v>1187.7626220024499</v>
      </c>
      <c r="Q50" s="144">
        <v>1187.98768160245</v>
      </c>
      <c r="R50" s="144">
        <v>1170</v>
      </c>
      <c r="S50" s="144">
        <v>1141</v>
      </c>
      <c r="T50" s="144">
        <v>1167</v>
      </c>
      <c r="U50" s="144">
        <v>1193.8937925811149</v>
      </c>
      <c r="V50" s="144">
        <v>1218.754489163</v>
      </c>
      <c r="W50" s="163">
        <v>1252.2702626241537</v>
      </c>
      <c r="X50" s="163">
        <v>1276.6453474085686</v>
      </c>
      <c r="Y50" s="163">
        <v>1313</v>
      </c>
    </row>
    <row r="51" spans="1:25" ht="15" x14ac:dyDescent="0.2">
      <c r="A51" s="141" t="s">
        <v>38</v>
      </c>
      <c r="B51" s="142">
        <v>2707</v>
      </c>
      <c r="C51" s="141" t="s">
        <v>780</v>
      </c>
      <c r="D51" s="141" t="s">
        <v>777</v>
      </c>
      <c r="E51" s="143">
        <v>2198</v>
      </c>
      <c r="F51" s="143">
        <v>2255</v>
      </c>
      <c r="G51" s="143">
        <v>2280</v>
      </c>
      <c r="H51" s="143">
        <v>2290</v>
      </c>
      <c r="I51" s="143">
        <v>2290</v>
      </c>
      <c r="J51" s="143">
        <v>2290</v>
      </c>
      <c r="K51" s="143">
        <v>2536</v>
      </c>
      <c r="L51" s="143">
        <v>2539</v>
      </c>
      <c r="M51" s="143">
        <v>2539</v>
      </c>
      <c r="N51" s="143">
        <v>2416</v>
      </c>
      <c r="O51" s="143">
        <v>2975.4484242025933</v>
      </c>
      <c r="P51" s="143">
        <v>2986.3356167501402</v>
      </c>
      <c r="Q51" s="144">
        <v>3520.0460334168069</v>
      </c>
      <c r="R51" s="144">
        <v>3520</v>
      </c>
      <c r="S51" s="144"/>
      <c r="T51" s="144" t="s">
        <v>794</v>
      </c>
      <c r="U51" s="144" t="s">
        <v>794</v>
      </c>
      <c r="V51" s="144" t="s">
        <v>794</v>
      </c>
      <c r="W51" s="163" t="s">
        <v>794</v>
      </c>
      <c r="X51" s="163" t="s">
        <v>794</v>
      </c>
      <c r="Y51" s="163" t="s">
        <v>794</v>
      </c>
    </row>
    <row r="52" spans="1:25" ht="15" x14ac:dyDescent="0.2">
      <c r="A52" s="141" t="s">
        <v>38</v>
      </c>
      <c r="B52" s="142">
        <v>4757</v>
      </c>
      <c r="C52" s="141" t="s">
        <v>781</v>
      </c>
      <c r="D52" s="141" t="s">
        <v>777</v>
      </c>
      <c r="E52" s="143">
        <v>325</v>
      </c>
      <c r="F52" s="143">
        <v>325</v>
      </c>
      <c r="G52" s="143">
        <v>1000</v>
      </c>
      <c r="H52" s="143">
        <v>1000</v>
      </c>
      <c r="I52" s="143">
        <v>1000</v>
      </c>
      <c r="J52" s="143">
        <v>1000</v>
      </c>
      <c r="K52" s="143">
        <v>1000</v>
      </c>
      <c r="L52" s="143">
        <v>1000</v>
      </c>
      <c r="M52" s="143">
        <v>1000</v>
      </c>
      <c r="N52" s="143">
        <v>646</v>
      </c>
      <c r="O52" s="143">
        <v>1421.9832042083069</v>
      </c>
      <c r="P52" s="143" t="s">
        <v>794</v>
      </c>
      <c r="Q52" s="144"/>
      <c r="R52" s="148" t="s">
        <v>794</v>
      </c>
      <c r="S52" s="144" t="s">
        <v>794</v>
      </c>
      <c r="T52" s="144" t="s">
        <v>794</v>
      </c>
      <c r="U52" s="144" t="s">
        <v>794</v>
      </c>
      <c r="V52" s="144" t="s">
        <v>794</v>
      </c>
      <c r="W52" s="163" t="s">
        <v>794</v>
      </c>
      <c r="X52" s="163" t="s">
        <v>794</v>
      </c>
      <c r="Y52" s="163" t="s">
        <v>794</v>
      </c>
    </row>
    <row r="53" spans="1:25" ht="15" x14ac:dyDescent="0.2">
      <c r="A53" s="141" t="s">
        <v>38</v>
      </c>
      <c r="B53" s="142">
        <v>6312</v>
      </c>
      <c r="C53" s="141" t="s">
        <v>782</v>
      </c>
      <c r="D53" s="141" t="s">
        <v>777</v>
      </c>
      <c r="E53" s="143" t="s">
        <v>840</v>
      </c>
      <c r="F53" s="143" t="s">
        <v>840</v>
      </c>
      <c r="G53" s="143" t="s">
        <v>840</v>
      </c>
      <c r="H53" s="143" t="s">
        <v>840</v>
      </c>
      <c r="I53" s="143" t="s">
        <v>840</v>
      </c>
      <c r="J53" s="143" t="s">
        <v>840</v>
      </c>
      <c r="K53" s="143" t="s">
        <v>840</v>
      </c>
      <c r="L53" s="143" t="s">
        <v>840</v>
      </c>
      <c r="M53" s="143" t="s">
        <v>840</v>
      </c>
      <c r="N53" s="143" t="s">
        <v>840</v>
      </c>
      <c r="O53" s="143" t="s">
        <v>794</v>
      </c>
      <c r="P53" s="143" t="s">
        <v>794</v>
      </c>
      <c r="Q53" s="144" t="s">
        <v>794</v>
      </c>
      <c r="R53" s="144" t="s">
        <v>794</v>
      </c>
      <c r="S53" s="144" t="s">
        <v>794</v>
      </c>
      <c r="T53" s="144" t="s">
        <v>794</v>
      </c>
      <c r="U53" s="144" t="s">
        <v>794</v>
      </c>
      <c r="V53" s="144" t="s">
        <v>794</v>
      </c>
      <c r="W53" s="163" t="s">
        <v>794</v>
      </c>
      <c r="X53" s="163" t="s">
        <v>794</v>
      </c>
      <c r="Y53" s="163" t="s">
        <v>794</v>
      </c>
    </row>
    <row r="54" spans="1:25" ht="15" x14ac:dyDescent="0.2">
      <c r="A54" s="141" t="s">
        <v>38</v>
      </c>
      <c r="B54" s="142">
        <v>6879</v>
      </c>
      <c r="C54" s="141" t="s">
        <v>783</v>
      </c>
      <c r="D54" s="141" t="s">
        <v>777</v>
      </c>
      <c r="E54" s="143">
        <v>2830</v>
      </c>
      <c r="F54" s="143">
        <v>2830</v>
      </c>
      <c r="G54" s="143">
        <v>2830</v>
      </c>
      <c r="H54" s="143">
        <v>2830</v>
      </c>
      <c r="I54" s="143">
        <v>2830</v>
      </c>
      <c r="J54" s="143">
        <v>2830</v>
      </c>
      <c r="K54" s="143">
        <v>2830</v>
      </c>
      <c r="L54" s="143">
        <v>2193</v>
      </c>
      <c r="M54" s="143">
        <v>2008</v>
      </c>
      <c r="N54" s="143">
        <v>2006</v>
      </c>
      <c r="O54" s="143">
        <v>2022.5256703583061</v>
      </c>
      <c r="P54" s="143">
        <v>2014.7063050937411</v>
      </c>
      <c r="Q54" s="144">
        <v>2014.7063050937411</v>
      </c>
      <c r="R54" s="144">
        <v>2015</v>
      </c>
      <c r="S54" s="144">
        <v>2124</v>
      </c>
      <c r="T54" s="144">
        <v>2018</v>
      </c>
      <c r="U54" s="144">
        <v>2035.5481634138903</v>
      </c>
      <c r="V54" s="144">
        <v>2315.1755135074363</v>
      </c>
      <c r="W54" s="163">
        <v>2415.9107503322361</v>
      </c>
      <c r="X54" s="163">
        <v>2415.9107106729807</v>
      </c>
      <c r="Y54" s="163">
        <v>2124</v>
      </c>
    </row>
    <row r="55" spans="1:25" ht="15" x14ac:dyDescent="0.2">
      <c r="A55" s="141" t="s">
        <v>38</v>
      </c>
      <c r="B55" s="142">
        <v>7002</v>
      </c>
      <c r="C55" s="141" t="s">
        <v>784</v>
      </c>
      <c r="D55" s="141" t="s">
        <v>777</v>
      </c>
      <c r="E55" s="143">
        <v>1074</v>
      </c>
      <c r="F55" s="143">
        <v>1044</v>
      </c>
      <c r="G55" s="143">
        <v>1044</v>
      </c>
      <c r="H55" s="143">
        <v>1044</v>
      </c>
      <c r="I55" s="143">
        <v>1044</v>
      </c>
      <c r="J55" s="143">
        <v>1044</v>
      </c>
      <c r="K55" s="143">
        <v>1044</v>
      </c>
      <c r="L55" s="143">
        <v>1044</v>
      </c>
      <c r="M55" s="143">
        <v>1044</v>
      </c>
      <c r="N55" s="143">
        <v>0</v>
      </c>
      <c r="O55" s="143">
        <v>915.98472425609441</v>
      </c>
      <c r="P55" s="143" t="s">
        <v>794</v>
      </c>
      <c r="Q55" s="144"/>
      <c r="R55" s="148" t="s">
        <v>794</v>
      </c>
      <c r="S55" s="148" t="s">
        <v>794</v>
      </c>
      <c r="T55" s="148" t="s">
        <v>794</v>
      </c>
      <c r="U55" s="144" t="s">
        <v>794</v>
      </c>
      <c r="V55" s="144" t="s">
        <v>794</v>
      </c>
      <c r="W55" s="163" t="s">
        <v>794</v>
      </c>
      <c r="X55" s="163" t="s">
        <v>794</v>
      </c>
      <c r="Y55" s="163" t="s">
        <v>794</v>
      </c>
    </row>
    <row r="56" spans="1:25" ht="15" x14ac:dyDescent="0.2">
      <c r="A56" s="141" t="s">
        <v>38</v>
      </c>
      <c r="B56" s="142">
        <v>7637</v>
      </c>
      <c r="C56" s="141" t="s">
        <v>143</v>
      </c>
      <c r="D56" s="141" t="s">
        <v>777</v>
      </c>
      <c r="E56" s="143">
        <v>474</v>
      </c>
      <c r="F56" s="143">
        <v>680</v>
      </c>
      <c r="G56" s="143">
        <v>976</v>
      </c>
      <c r="H56" s="143">
        <v>976</v>
      </c>
      <c r="I56" s="143">
        <v>754</v>
      </c>
      <c r="J56" s="143">
        <v>906</v>
      </c>
      <c r="K56" s="143">
        <v>916</v>
      </c>
      <c r="L56" s="143">
        <v>916</v>
      </c>
      <c r="M56" s="143">
        <v>916</v>
      </c>
      <c r="N56" s="143">
        <v>991</v>
      </c>
      <c r="O56" s="143">
        <v>1035.9607421621561</v>
      </c>
      <c r="P56" s="143">
        <v>1039.2614276855938</v>
      </c>
      <c r="Q56" s="144">
        <v>1105.5972634953123</v>
      </c>
      <c r="R56" s="144">
        <v>1061</v>
      </c>
      <c r="S56" s="144">
        <v>1106</v>
      </c>
      <c r="T56" s="144">
        <v>1132</v>
      </c>
      <c r="U56" s="144">
        <v>1192.0348677322188</v>
      </c>
      <c r="V56" s="144">
        <v>1264.4012340700936</v>
      </c>
      <c r="W56" s="163">
        <v>1264.4011782674152</v>
      </c>
      <c r="X56" s="163">
        <v>1258.3706642791094</v>
      </c>
      <c r="Y56" s="163">
        <v>1315</v>
      </c>
    </row>
    <row r="57" spans="1:25" ht="15" x14ac:dyDescent="0.2">
      <c r="A57" s="141" t="s">
        <v>38</v>
      </c>
      <c r="B57" s="142">
        <v>7790</v>
      </c>
      <c r="C57" s="141" t="s">
        <v>785</v>
      </c>
      <c r="D57" s="141" t="s">
        <v>777</v>
      </c>
      <c r="E57" s="143">
        <v>1175</v>
      </c>
      <c r="F57" s="143">
        <v>1175</v>
      </c>
      <c r="G57" s="143">
        <v>1225</v>
      </c>
      <c r="H57" s="143">
        <v>1225</v>
      </c>
      <c r="I57" s="143">
        <v>1228</v>
      </c>
      <c r="J57" s="143">
        <v>1000</v>
      </c>
      <c r="K57" s="143">
        <v>1000</v>
      </c>
      <c r="L57" s="143">
        <v>1044</v>
      </c>
      <c r="M57" s="143">
        <v>1044</v>
      </c>
      <c r="N57" s="143">
        <v>629</v>
      </c>
      <c r="O57" s="143">
        <v>780</v>
      </c>
      <c r="P57" s="143">
        <v>830</v>
      </c>
      <c r="Q57" s="144">
        <v>825</v>
      </c>
      <c r="R57" s="144">
        <v>1252</v>
      </c>
      <c r="S57" s="144">
        <v>1252</v>
      </c>
      <c r="T57" s="144">
        <v>1355</v>
      </c>
      <c r="U57" s="144">
        <v>1392.8989302455202</v>
      </c>
      <c r="V57" s="144">
        <v>1438.6928676782495</v>
      </c>
      <c r="W57" s="163">
        <v>1480.6709250140264</v>
      </c>
      <c r="X57" s="163">
        <v>2186.6609071443963</v>
      </c>
      <c r="Y57" s="163">
        <v>2225</v>
      </c>
    </row>
    <row r="58" spans="1:25" ht="15" x14ac:dyDescent="0.2">
      <c r="A58" s="141" t="s">
        <v>38</v>
      </c>
      <c r="B58" s="142">
        <v>10443</v>
      </c>
      <c r="C58" s="141" t="s">
        <v>786</v>
      </c>
      <c r="D58" s="141" t="s">
        <v>777</v>
      </c>
      <c r="E58" s="143">
        <v>3076</v>
      </c>
      <c r="F58" s="143">
        <v>3081</v>
      </c>
      <c r="G58" s="143">
        <v>3025</v>
      </c>
      <c r="H58" s="143">
        <v>3080</v>
      </c>
      <c r="I58" s="143">
        <v>3080</v>
      </c>
      <c r="J58" s="143">
        <v>3080</v>
      </c>
      <c r="K58" s="143">
        <v>3080</v>
      </c>
      <c r="L58" s="143">
        <v>3080</v>
      </c>
      <c r="M58" s="143">
        <v>2929</v>
      </c>
      <c r="N58" s="143">
        <v>2911</v>
      </c>
      <c r="O58" s="143">
        <v>2731.7989105100687</v>
      </c>
      <c r="P58" s="143">
        <v>2781.7315768381586</v>
      </c>
      <c r="Q58" s="144">
        <v>2754.5662294080985</v>
      </c>
      <c r="R58" s="144">
        <v>2755</v>
      </c>
      <c r="S58" s="144">
        <v>2755</v>
      </c>
      <c r="T58" s="144">
        <v>2776</v>
      </c>
      <c r="U58" s="144">
        <v>2776.2979473528426</v>
      </c>
      <c r="V58" s="144">
        <v>2776.2979473528426</v>
      </c>
      <c r="W58" s="163">
        <v>2755</v>
      </c>
      <c r="X58" s="163">
        <v>2776.2985653687424</v>
      </c>
      <c r="Y58" s="163">
        <v>2774</v>
      </c>
    </row>
    <row r="59" spans="1:25" ht="15" x14ac:dyDescent="0.2">
      <c r="A59" s="141" t="s">
        <v>38</v>
      </c>
      <c r="B59" s="142">
        <v>11732</v>
      </c>
      <c r="C59" s="141" t="s">
        <v>782</v>
      </c>
      <c r="D59" s="141" t="s">
        <v>777</v>
      </c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4" t="s">
        <v>794</v>
      </c>
      <c r="R59" s="144" t="s">
        <v>794</v>
      </c>
      <c r="S59" s="144" t="s">
        <v>794</v>
      </c>
      <c r="T59" s="144">
        <v>0</v>
      </c>
      <c r="U59" s="144" t="s">
        <v>794</v>
      </c>
      <c r="V59" s="144" t="s">
        <v>794</v>
      </c>
      <c r="W59" s="163" t="s">
        <v>794</v>
      </c>
      <c r="X59" s="163" t="s">
        <v>794</v>
      </c>
      <c r="Y59" s="163" t="s">
        <v>794</v>
      </c>
    </row>
    <row r="60" spans="1:25" ht="15" x14ac:dyDescent="0.2">
      <c r="A60" s="145" t="s">
        <v>38</v>
      </c>
      <c r="B60" s="146">
        <v>11771</v>
      </c>
      <c r="C60" s="141" t="s">
        <v>782</v>
      </c>
      <c r="D60" s="141" t="s">
        <v>777</v>
      </c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4" t="s">
        <v>794</v>
      </c>
      <c r="R60" s="144" t="s">
        <v>794</v>
      </c>
      <c r="S60" s="144" t="s">
        <v>794</v>
      </c>
      <c r="T60" s="144">
        <v>0</v>
      </c>
      <c r="U60" s="144" t="s">
        <v>794</v>
      </c>
      <c r="V60" s="144" t="s">
        <v>794</v>
      </c>
      <c r="W60" s="163" t="s">
        <v>794</v>
      </c>
      <c r="X60" s="163" t="s">
        <v>794</v>
      </c>
      <c r="Y60" s="163" t="s">
        <v>794</v>
      </c>
    </row>
    <row r="61" spans="1:25" ht="15" x14ac:dyDescent="0.2">
      <c r="A61" s="141" t="s">
        <v>38</v>
      </c>
      <c r="B61" s="142">
        <v>11794</v>
      </c>
      <c r="C61" s="141" t="s">
        <v>782</v>
      </c>
      <c r="D61" s="141" t="s">
        <v>777</v>
      </c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4" t="s">
        <v>794</v>
      </c>
      <c r="R61" s="144" t="s">
        <v>794</v>
      </c>
      <c r="S61" s="144" t="s">
        <v>794</v>
      </c>
      <c r="T61" s="144">
        <v>0</v>
      </c>
      <c r="U61" s="144" t="s">
        <v>794</v>
      </c>
      <c r="V61" s="144" t="s">
        <v>794</v>
      </c>
      <c r="W61" s="163" t="s">
        <v>794</v>
      </c>
      <c r="X61" s="163" t="s">
        <v>794</v>
      </c>
      <c r="Y61" s="163" t="s">
        <v>794</v>
      </c>
    </row>
    <row r="62" spans="1:25" ht="15" x14ac:dyDescent="0.2">
      <c r="A62" s="141" t="s">
        <v>38</v>
      </c>
      <c r="B62" s="142">
        <v>11796</v>
      </c>
      <c r="C62" s="141" t="s">
        <v>782</v>
      </c>
      <c r="D62" s="141" t="s">
        <v>777</v>
      </c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4" t="s">
        <v>794</v>
      </c>
      <c r="R62" s="144" t="s">
        <v>794</v>
      </c>
      <c r="S62" s="144" t="s">
        <v>794</v>
      </c>
      <c r="T62" s="144">
        <v>0</v>
      </c>
      <c r="U62" s="144" t="s">
        <v>794</v>
      </c>
      <c r="V62" s="144" t="s">
        <v>794</v>
      </c>
      <c r="W62" s="163" t="s">
        <v>794</v>
      </c>
      <c r="X62" s="163" t="s">
        <v>794</v>
      </c>
      <c r="Y62" s="163" t="s">
        <v>794</v>
      </c>
    </row>
    <row r="63" spans="1:25" ht="15" x14ac:dyDescent="0.2">
      <c r="A63" s="141" t="s">
        <v>38</v>
      </c>
      <c r="B63" s="142">
        <v>12994</v>
      </c>
      <c r="C63" s="141" t="s">
        <v>787</v>
      </c>
      <c r="D63" s="141" t="s">
        <v>777</v>
      </c>
      <c r="E63" s="143" t="s">
        <v>840</v>
      </c>
      <c r="F63" s="143" t="s">
        <v>840</v>
      </c>
      <c r="G63" s="143" t="s">
        <v>840</v>
      </c>
      <c r="H63" s="143" t="s">
        <v>840</v>
      </c>
      <c r="I63" s="143" t="s">
        <v>840</v>
      </c>
      <c r="J63" s="143">
        <v>3900</v>
      </c>
      <c r="K63" s="143">
        <v>4928</v>
      </c>
      <c r="L63" s="143">
        <v>3945</v>
      </c>
      <c r="M63" s="143">
        <v>3945</v>
      </c>
      <c r="N63" s="143">
        <v>0</v>
      </c>
      <c r="O63" s="143">
        <v>3468</v>
      </c>
      <c r="P63" s="143">
        <v>3483.3243212385501</v>
      </c>
      <c r="Q63" s="144">
        <v>3483.3243212385501</v>
      </c>
      <c r="R63" s="144">
        <v>3483</v>
      </c>
      <c r="S63" s="144" t="s">
        <v>794</v>
      </c>
      <c r="T63" s="144" t="s">
        <v>794</v>
      </c>
      <c r="U63" s="144" t="s">
        <v>794</v>
      </c>
      <c r="V63" s="144" t="s">
        <v>794</v>
      </c>
      <c r="W63" s="163" t="s">
        <v>794</v>
      </c>
      <c r="X63" s="163" t="s">
        <v>794</v>
      </c>
      <c r="Y63" s="163" t="s">
        <v>794</v>
      </c>
    </row>
    <row r="64" spans="1:25" ht="15" x14ac:dyDescent="0.2">
      <c r="A64" s="141" t="s">
        <v>38</v>
      </c>
      <c r="B64" s="142">
        <v>20141</v>
      </c>
      <c r="C64" s="141" t="s">
        <v>788</v>
      </c>
      <c r="D64" s="141" t="s">
        <v>777</v>
      </c>
      <c r="E64" s="143" t="s">
        <v>840</v>
      </c>
      <c r="F64" s="143">
        <v>361714</v>
      </c>
      <c r="G64" s="143">
        <v>403245</v>
      </c>
      <c r="H64" s="143">
        <v>431725</v>
      </c>
      <c r="I64" s="143">
        <v>443175</v>
      </c>
      <c r="J64" s="143">
        <v>488728</v>
      </c>
      <c r="K64" s="143">
        <v>488933</v>
      </c>
      <c r="L64" s="143">
        <v>498798</v>
      </c>
      <c r="M64" s="143">
        <v>498798</v>
      </c>
      <c r="N64" s="143">
        <v>498003</v>
      </c>
      <c r="O64" s="143">
        <v>534982</v>
      </c>
      <c r="P64" s="143">
        <v>551911.08298230357</v>
      </c>
      <c r="Q64" s="144">
        <v>542505.74254447746</v>
      </c>
      <c r="R64" s="144">
        <v>541328</v>
      </c>
      <c r="S64" s="144">
        <v>571715</v>
      </c>
      <c r="T64" s="144">
        <v>595348</v>
      </c>
      <c r="U64" s="144">
        <v>614035</v>
      </c>
      <c r="V64" s="144">
        <v>632342.47286984127</v>
      </c>
      <c r="W64" s="163">
        <v>652107.08575946547</v>
      </c>
      <c r="X64" s="163">
        <v>670578.93387739535</v>
      </c>
      <c r="Y64" s="163">
        <v>686470</v>
      </c>
    </row>
    <row r="65" spans="1:25" ht="15" x14ac:dyDescent="0.2">
      <c r="A65" s="145" t="s">
        <v>28</v>
      </c>
      <c r="B65" s="146">
        <v>5640</v>
      </c>
      <c r="C65" s="147" t="s">
        <v>93</v>
      </c>
      <c r="D65" s="147" t="s">
        <v>759</v>
      </c>
      <c r="E65" s="143">
        <v>2982</v>
      </c>
      <c r="F65" s="143">
        <v>3058.0410000000002</v>
      </c>
      <c r="G65" s="143">
        <v>3395</v>
      </c>
      <c r="H65" s="143">
        <v>3400</v>
      </c>
      <c r="I65" s="143">
        <v>3495</v>
      </c>
      <c r="J65" s="143">
        <v>3588</v>
      </c>
      <c r="K65" s="143">
        <v>3820</v>
      </c>
      <c r="L65" s="143">
        <v>3870</v>
      </c>
      <c r="M65" s="143">
        <v>3173</v>
      </c>
      <c r="N65" s="143">
        <v>3168</v>
      </c>
      <c r="O65" s="143">
        <v>3236.1447812500001</v>
      </c>
      <c r="P65" s="143">
        <v>3238.9104224653779</v>
      </c>
      <c r="Q65" s="144">
        <v>3217.6021462309359</v>
      </c>
      <c r="R65" s="144">
        <v>3241</v>
      </c>
      <c r="S65" s="144">
        <v>3210</v>
      </c>
      <c r="T65" s="144">
        <v>3223</v>
      </c>
      <c r="U65" s="144">
        <v>3280.4921694670647</v>
      </c>
      <c r="V65" s="144">
        <v>3265.4344317401037</v>
      </c>
      <c r="W65" s="163">
        <v>3274.8810207590373</v>
      </c>
      <c r="X65" s="163">
        <v>3319.2773348761443</v>
      </c>
      <c r="Y65" s="163">
        <v>4923</v>
      </c>
    </row>
    <row r="66" spans="1:25" ht="15" x14ac:dyDescent="0.2">
      <c r="A66" s="145" t="s">
        <v>28</v>
      </c>
      <c r="B66" s="146">
        <v>7755</v>
      </c>
      <c r="C66" s="147" t="s">
        <v>171</v>
      </c>
      <c r="D66" s="147" t="s">
        <v>759</v>
      </c>
      <c r="E66" s="143">
        <v>623</v>
      </c>
      <c r="F66" s="143">
        <v>661</v>
      </c>
      <c r="G66" s="143">
        <v>679</v>
      </c>
      <c r="H66" s="143">
        <v>702</v>
      </c>
      <c r="I66" s="143">
        <v>705</v>
      </c>
      <c r="J66" s="143">
        <v>760</v>
      </c>
      <c r="K66" s="143">
        <v>760</v>
      </c>
      <c r="L66" s="143">
        <v>760</v>
      </c>
      <c r="M66" s="143">
        <v>765</v>
      </c>
      <c r="N66" s="143">
        <v>844</v>
      </c>
      <c r="O66" s="143">
        <v>870</v>
      </c>
      <c r="P66" s="143">
        <v>900.80326873176739</v>
      </c>
      <c r="Q66" s="144">
        <v>906</v>
      </c>
      <c r="R66" s="144">
        <v>866</v>
      </c>
      <c r="S66" s="144">
        <v>856</v>
      </c>
      <c r="T66" s="144">
        <v>856</v>
      </c>
      <c r="U66" s="144" t="s">
        <v>794</v>
      </c>
      <c r="V66" s="144" t="s">
        <v>794</v>
      </c>
      <c r="W66" s="163" t="s">
        <v>794</v>
      </c>
      <c r="X66" s="163" t="s">
        <v>794</v>
      </c>
      <c r="Y66" s="163" t="s">
        <v>794</v>
      </c>
    </row>
    <row r="67" spans="1:25" ht="15" x14ac:dyDescent="0.2">
      <c r="A67" s="145" t="s">
        <v>28</v>
      </c>
      <c r="B67" s="146">
        <v>8953</v>
      </c>
      <c r="C67" s="147" t="s">
        <v>167</v>
      </c>
      <c r="D67" s="147" t="s">
        <v>759</v>
      </c>
      <c r="E67" s="143">
        <v>1318</v>
      </c>
      <c r="F67" s="143">
        <v>1352</v>
      </c>
      <c r="G67" s="143">
        <v>1400</v>
      </c>
      <c r="H67" s="143">
        <v>1400</v>
      </c>
      <c r="I67" s="143">
        <v>1400</v>
      </c>
      <c r="J67" s="143">
        <v>1500</v>
      </c>
      <c r="K67" s="143">
        <v>1400</v>
      </c>
      <c r="L67" s="143">
        <v>1400</v>
      </c>
      <c r="M67" s="143">
        <v>1400</v>
      </c>
      <c r="N67" s="143">
        <v>1741</v>
      </c>
      <c r="O67" s="143">
        <v>1500.891997063683</v>
      </c>
      <c r="P67" s="143">
        <v>1482.4886701070182</v>
      </c>
      <c r="Q67" s="144">
        <v>1657.4624048739524</v>
      </c>
      <c r="R67" s="144">
        <v>1606</v>
      </c>
      <c r="S67" s="144">
        <v>1628</v>
      </c>
      <c r="T67" s="144">
        <v>1632</v>
      </c>
      <c r="U67" s="144">
        <v>1647.5213599421554</v>
      </c>
      <c r="V67" s="144">
        <v>1649.9029011381811</v>
      </c>
      <c r="W67" s="163">
        <v>1659.4271957961359</v>
      </c>
      <c r="X67" s="163">
        <v>1664.6439968700677</v>
      </c>
      <c r="Y67" s="163">
        <v>1633</v>
      </c>
    </row>
    <row r="68" spans="1:25" ht="15" x14ac:dyDescent="0.2">
      <c r="A68" s="141" t="s">
        <v>19</v>
      </c>
      <c r="B68" s="142">
        <v>6392</v>
      </c>
      <c r="C68" s="141" t="s">
        <v>789</v>
      </c>
      <c r="D68" s="141" t="s">
        <v>754</v>
      </c>
      <c r="E68" s="143">
        <v>49733</v>
      </c>
      <c r="F68" s="143">
        <v>49958</v>
      </c>
      <c r="G68" s="143">
        <v>52181</v>
      </c>
      <c r="H68" s="143">
        <v>52599</v>
      </c>
      <c r="I68" s="143">
        <v>54304</v>
      </c>
      <c r="J68" s="143">
        <v>54911</v>
      </c>
      <c r="K68" s="143">
        <v>54409</v>
      </c>
      <c r="L68" s="143">
        <v>54184</v>
      </c>
      <c r="M68" s="143">
        <v>54411</v>
      </c>
      <c r="N68" s="143">
        <v>55180</v>
      </c>
      <c r="O68" s="143">
        <v>62913.235460082396</v>
      </c>
      <c r="P68" s="143">
        <v>65614.481897782593</v>
      </c>
      <c r="Q68" s="144">
        <v>66787.863672614098</v>
      </c>
      <c r="R68" s="144">
        <v>70583</v>
      </c>
      <c r="S68" s="144">
        <v>72587</v>
      </c>
      <c r="T68" s="144">
        <v>66167</v>
      </c>
      <c r="U68" s="144">
        <v>65813.792020029214</v>
      </c>
      <c r="V68" s="144">
        <v>71749.204424195894</v>
      </c>
      <c r="W68" s="163">
        <v>70311.114359743922</v>
      </c>
      <c r="X68" s="163">
        <v>75465.885364008311</v>
      </c>
      <c r="Y68" s="163">
        <v>75307</v>
      </c>
    </row>
    <row r="69" spans="1:25" ht="15" x14ac:dyDescent="0.2">
      <c r="A69" s="141" t="s">
        <v>19</v>
      </c>
      <c r="B69" s="142">
        <v>10963</v>
      </c>
      <c r="C69" s="141" t="s">
        <v>170</v>
      </c>
      <c r="D69" s="141" t="s">
        <v>754</v>
      </c>
      <c r="E69" s="143">
        <v>16664</v>
      </c>
      <c r="F69" s="143">
        <v>15977</v>
      </c>
      <c r="G69" s="143">
        <v>23501</v>
      </c>
      <c r="H69" s="143">
        <v>23501</v>
      </c>
      <c r="I69" s="143">
        <v>23501</v>
      </c>
      <c r="J69" s="143">
        <v>23501</v>
      </c>
      <c r="K69" s="143">
        <v>23501</v>
      </c>
      <c r="L69" s="143">
        <v>18324</v>
      </c>
      <c r="M69" s="143">
        <v>20050</v>
      </c>
      <c r="N69" s="143">
        <v>17220</v>
      </c>
      <c r="O69" s="143">
        <v>16810</v>
      </c>
      <c r="P69" s="143">
        <v>18677.128558441094</v>
      </c>
      <c r="Q69" s="144">
        <v>18680.400678775695</v>
      </c>
      <c r="R69" s="144">
        <v>18131</v>
      </c>
      <c r="S69" s="144">
        <v>17992</v>
      </c>
      <c r="T69" s="144">
        <v>18108</v>
      </c>
      <c r="U69" s="144">
        <v>19778.441745526758</v>
      </c>
      <c r="V69" s="144">
        <v>19909.965626204437</v>
      </c>
      <c r="W69" s="163">
        <v>18778.025143505314</v>
      </c>
      <c r="X69" s="163">
        <v>19000.186461470061</v>
      </c>
      <c r="Y69" s="163">
        <v>18356</v>
      </c>
    </row>
    <row r="70" spans="1:25" ht="15" x14ac:dyDescent="0.2">
      <c r="A70" s="141" t="s">
        <v>19</v>
      </c>
      <c r="B70" s="142">
        <v>12443</v>
      </c>
      <c r="C70" s="141" t="s">
        <v>790</v>
      </c>
      <c r="D70" s="141" t="s">
        <v>754</v>
      </c>
      <c r="E70" s="143">
        <v>11333</v>
      </c>
      <c r="F70" s="143">
        <v>11608</v>
      </c>
      <c r="G70" s="143">
        <v>12944</v>
      </c>
      <c r="H70" s="143">
        <v>13035</v>
      </c>
      <c r="I70" s="143">
        <v>13035</v>
      </c>
      <c r="J70" s="143">
        <v>13035</v>
      </c>
      <c r="K70" s="143">
        <v>14000</v>
      </c>
      <c r="L70" s="143">
        <v>14396</v>
      </c>
      <c r="M70" s="143">
        <v>14396</v>
      </c>
      <c r="N70" s="143">
        <v>17639</v>
      </c>
      <c r="O70" s="143">
        <v>16987.300203837516</v>
      </c>
      <c r="P70" s="143">
        <v>17497.395909539111</v>
      </c>
      <c r="Q70" s="144">
        <v>17328</v>
      </c>
      <c r="R70" s="144">
        <v>17342</v>
      </c>
      <c r="S70" s="144">
        <v>17790</v>
      </c>
      <c r="T70" s="144">
        <v>17886</v>
      </c>
      <c r="U70" s="144">
        <v>17954.345426855565</v>
      </c>
      <c r="V70" s="144">
        <v>17179.773734617811</v>
      </c>
      <c r="W70" s="163">
        <v>18470.983298595718</v>
      </c>
      <c r="X70" s="163">
        <v>18849.389846981147</v>
      </c>
      <c r="Y70" s="163">
        <v>18620</v>
      </c>
    </row>
    <row r="71" spans="1:25" ht="15" x14ac:dyDescent="0.2">
      <c r="A71" s="141" t="s">
        <v>19</v>
      </c>
      <c r="B71" s="142">
        <v>13343</v>
      </c>
      <c r="C71" s="141" t="s">
        <v>719</v>
      </c>
      <c r="D71" s="141" t="s">
        <v>754</v>
      </c>
      <c r="E71" s="143">
        <v>215124</v>
      </c>
      <c r="F71" s="143">
        <v>226483</v>
      </c>
      <c r="G71" s="143">
        <v>238914</v>
      </c>
      <c r="H71" s="143">
        <v>253263</v>
      </c>
      <c r="I71" s="143">
        <v>257048</v>
      </c>
      <c r="J71" s="143">
        <v>290656</v>
      </c>
      <c r="K71" s="143">
        <v>292938</v>
      </c>
      <c r="L71" s="143">
        <v>295280</v>
      </c>
      <c r="M71" s="143">
        <v>299834</v>
      </c>
      <c r="N71" s="143">
        <v>301097</v>
      </c>
      <c r="O71" s="143">
        <v>307306</v>
      </c>
      <c r="P71" s="143">
        <v>313109</v>
      </c>
      <c r="Q71" s="144">
        <v>318256.16038515279</v>
      </c>
      <c r="R71" s="144">
        <v>325356</v>
      </c>
      <c r="S71" s="144">
        <v>333354</v>
      </c>
      <c r="T71" s="144">
        <v>341928</v>
      </c>
      <c r="U71" s="144">
        <v>349523.34625363688</v>
      </c>
      <c r="V71" s="144">
        <v>358721.79193883674</v>
      </c>
      <c r="W71" s="163">
        <v>368669.83162122563</v>
      </c>
      <c r="X71" s="163">
        <v>378390</v>
      </c>
      <c r="Y71" s="163" t="s">
        <v>794</v>
      </c>
    </row>
    <row r="72" spans="1:25" ht="15" x14ac:dyDescent="0.2">
      <c r="A72" s="141" t="s">
        <v>29</v>
      </c>
      <c r="B72" s="142">
        <v>1156</v>
      </c>
      <c r="C72" s="141" t="s">
        <v>717</v>
      </c>
      <c r="D72" s="141" t="s">
        <v>759</v>
      </c>
      <c r="E72" s="143">
        <v>4939</v>
      </c>
      <c r="F72" s="143">
        <v>4996</v>
      </c>
      <c r="G72" s="143">
        <v>5216</v>
      </c>
      <c r="H72" s="143">
        <v>5437</v>
      </c>
      <c r="I72" s="143">
        <v>5824</v>
      </c>
      <c r="J72" s="143">
        <v>6967</v>
      </c>
      <c r="K72" s="143">
        <v>7599</v>
      </c>
      <c r="L72" s="143">
        <v>9050</v>
      </c>
      <c r="M72" s="143">
        <v>10336</v>
      </c>
      <c r="N72" s="143">
        <v>10525</v>
      </c>
      <c r="O72" s="143">
        <v>10732</v>
      </c>
      <c r="P72" s="143">
        <v>9649.5020021801138</v>
      </c>
      <c r="Q72" s="144">
        <v>11242</v>
      </c>
      <c r="R72" s="144">
        <v>11656</v>
      </c>
      <c r="S72" s="144">
        <v>10669</v>
      </c>
      <c r="T72" s="144">
        <v>11276</v>
      </c>
      <c r="U72" s="144">
        <v>11929.169816563161</v>
      </c>
      <c r="V72" s="144">
        <v>12931.228003378861</v>
      </c>
      <c r="W72" s="163">
        <v>13884</v>
      </c>
      <c r="X72" s="163">
        <v>14909.764922296936</v>
      </c>
      <c r="Y72" s="163">
        <v>16516</v>
      </c>
    </row>
    <row r="73" spans="1:25" ht="15" x14ac:dyDescent="0.2">
      <c r="A73" s="141" t="s">
        <v>29</v>
      </c>
      <c r="B73" s="142">
        <v>2999</v>
      </c>
      <c r="C73" s="141" t="s">
        <v>791</v>
      </c>
      <c r="D73" s="141" t="s">
        <v>759</v>
      </c>
      <c r="E73" s="143" t="s">
        <v>840</v>
      </c>
      <c r="F73" s="143" t="s">
        <v>840</v>
      </c>
      <c r="G73" s="143" t="s">
        <v>840</v>
      </c>
      <c r="H73" s="143" t="s">
        <v>840</v>
      </c>
      <c r="I73" s="143">
        <v>681</v>
      </c>
      <c r="J73" s="143">
        <v>681</v>
      </c>
      <c r="K73" s="143">
        <v>681</v>
      </c>
      <c r="L73" s="143">
        <v>681</v>
      </c>
      <c r="M73" s="143">
        <v>681</v>
      </c>
      <c r="N73" s="143">
        <v>917</v>
      </c>
      <c r="O73" s="143">
        <v>1090.2098457853831</v>
      </c>
      <c r="P73" s="143">
        <v>1172.9757698376093</v>
      </c>
      <c r="Q73" s="144">
        <v>1084.4921044146561</v>
      </c>
      <c r="R73" s="144">
        <v>1173</v>
      </c>
      <c r="S73" s="144">
        <v>1121</v>
      </c>
      <c r="T73" s="144">
        <v>1109</v>
      </c>
      <c r="U73" s="144">
        <v>1116.2556619166248</v>
      </c>
      <c r="V73" s="144">
        <v>1111.7180372746875</v>
      </c>
      <c r="W73" s="163">
        <v>1125.3307680564749</v>
      </c>
      <c r="X73" s="163">
        <v>1127.5995888536936</v>
      </c>
      <c r="Y73" s="163">
        <v>1134</v>
      </c>
    </row>
    <row r="74" spans="1:25" ht="15" x14ac:dyDescent="0.2">
      <c r="A74" s="141" t="s">
        <v>29</v>
      </c>
      <c r="B74" s="142">
        <v>5643</v>
      </c>
      <c r="C74" s="141" t="s">
        <v>792</v>
      </c>
      <c r="D74" s="141" t="s">
        <v>759</v>
      </c>
      <c r="E74" s="143">
        <v>1243</v>
      </c>
      <c r="F74" s="143">
        <v>1152</v>
      </c>
      <c r="G74" s="143">
        <v>1747</v>
      </c>
      <c r="H74" s="143">
        <v>1785</v>
      </c>
      <c r="I74" s="143">
        <v>1785</v>
      </c>
      <c r="J74" s="143">
        <v>1824</v>
      </c>
      <c r="K74" s="143">
        <v>1841</v>
      </c>
      <c r="L74" s="143">
        <v>1841</v>
      </c>
      <c r="M74" s="143">
        <v>1146</v>
      </c>
      <c r="N74" s="143">
        <v>1111</v>
      </c>
      <c r="O74" s="143">
        <v>1076</v>
      </c>
      <c r="P74" s="143">
        <v>1097.2598405218234</v>
      </c>
      <c r="Q74" s="144">
        <v>1099.3262432346705</v>
      </c>
      <c r="R74" s="144">
        <v>1099</v>
      </c>
      <c r="S74" s="144">
        <v>1101</v>
      </c>
      <c r="T74" s="144">
        <v>1000</v>
      </c>
      <c r="U74" s="144">
        <v>1000.0145523189676</v>
      </c>
      <c r="V74" s="144">
        <v>1000.0145523189676</v>
      </c>
      <c r="W74" s="163">
        <v>1000.0144727213734</v>
      </c>
      <c r="X74" s="163">
        <v>1000.0144819385646</v>
      </c>
      <c r="Y74" s="163">
        <v>1014</v>
      </c>
    </row>
    <row r="75" spans="1:25" ht="15" x14ac:dyDescent="0.2">
      <c r="A75" s="141" t="s">
        <v>29</v>
      </c>
      <c r="B75" s="142">
        <v>6151</v>
      </c>
      <c r="C75" s="141" t="s">
        <v>793</v>
      </c>
      <c r="D75" s="141" t="s">
        <v>759</v>
      </c>
      <c r="E75" s="143" t="s">
        <v>840</v>
      </c>
      <c r="F75" s="143">
        <v>16445</v>
      </c>
      <c r="G75" s="143">
        <v>17503</v>
      </c>
      <c r="H75" s="143">
        <v>17503</v>
      </c>
      <c r="I75" s="143">
        <v>17503</v>
      </c>
      <c r="J75" s="143">
        <v>10788</v>
      </c>
      <c r="K75" s="143">
        <v>30897</v>
      </c>
      <c r="L75" s="143">
        <v>27602</v>
      </c>
      <c r="M75" s="143">
        <v>27602</v>
      </c>
      <c r="N75" s="143">
        <v>30738</v>
      </c>
      <c r="O75" s="143">
        <v>35892</v>
      </c>
      <c r="P75" s="143">
        <v>31966.255301756762</v>
      </c>
      <c r="Q75" s="144">
        <v>33084.837427123995</v>
      </c>
      <c r="R75" s="144">
        <v>32325</v>
      </c>
      <c r="S75" s="144">
        <v>35032</v>
      </c>
      <c r="T75" s="144">
        <v>35618</v>
      </c>
      <c r="U75" s="144">
        <v>36180.053476635243</v>
      </c>
      <c r="V75" s="144">
        <v>37061.631924625028</v>
      </c>
      <c r="W75" s="163">
        <v>40146.500565650655</v>
      </c>
      <c r="X75" s="163">
        <v>40830.531219645047</v>
      </c>
      <c r="Y75" s="163">
        <v>43070</v>
      </c>
    </row>
    <row r="76" spans="1:25" ht="15" x14ac:dyDescent="0.2">
      <c r="A76" s="141" t="s">
        <v>29</v>
      </c>
      <c r="B76" s="142">
        <v>6792</v>
      </c>
      <c r="C76" s="141" t="s">
        <v>795</v>
      </c>
      <c r="D76" s="141" t="s">
        <v>759</v>
      </c>
      <c r="E76" s="143">
        <v>791</v>
      </c>
      <c r="F76" s="143">
        <v>810</v>
      </c>
      <c r="G76" s="143">
        <v>829</v>
      </c>
      <c r="H76" s="143">
        <v>845</v>
      </c>
      <c r="I76" s="143">
        <v>845</v>
      </c>
      <c r="J76" s="143">
        <v>845</v>
      </c>
      <c r="K76" s="143">
        <v>680</v>
      </c>
      <c r="L76" s="143">
        <v>752</v>
      </c>
      <c r="M76" s="143">
        <v>659</v>
      </c>
      <c r="N76" s="143">
        <v>737</v>
      </c>
      <c r="O76" s="143">
        <v>747</v>
      </c>
      <c r="P76" s="143">
        <v>622.33543174719671</v>
      </c>
      <c r="Q76" s="144">
        <v>598</v>
      </c>
      <c r="R76" s="144">
        <v>606</v>
      </c>
      <c r="S76" s="144">
        <v>598</v>
      </c>
      <c r="T76" s="144">
        <v>598</v>
      </c>
      <c r="U76" s="144">
        <v>598</v>
      </c>
      <c r="V76" s="144">
        <v>597.851294726481</v>
      </c>
      <c r="W76" s="163" t="s">
        <v>794</v>
      </c>
      <c r="X76" s="163" t="s">
        <v>794</v>
      </c>
      <c r="Y76" s="163" t="s">
        <v>794</v>
      </c>
    </row>
    <row r="77" spans="1:25" ht="15" x14ac:dyDescent="0.2">
      <c r="A77" s="141" t="s">
        <v>29</v>
      </c>
      <c r="B77" s="142">
        <v>7849</v>
      </c>
      <c r="C77" s="141" t="s">
        <v>791</v>
      </c>
      <c r="D77" s="141" t="s">
        <v>759</v>
      </c>
      <c r="E77" s="143" t="s">
        <v>840</v>
      </c>
      <c r="F77" s="143" t="s">
        <v>840</v>
      </c>
      <c r="G77" s="143" t="s">
        <v>840</v>
      </c>
      <c r="H77" s="143" t="s">
        <v>840</v>
      </c>
      <c r="I77" s="143">
        <v>807</v>
      </c>
      <c r="J77" s="143">
        <v>807</v>
      </c>
      <c r="K77" s="143">
        <v>807</v>
      </c>
      <c r="L77" s="143">
        <v>807</v>
      </c>
      <c r="M77" s="143">
        <v>807</v>
      </c>
      <c r="N77" s="143">
        <v>921</v>
      </c>
      <c r="O77" s="143">
        <v>1282.2496093353377</v>
      </c>
      <c r="P77" s="143">
        <v>1061.675247615133</v>
      </c>
      <c r="Q77" s="144">
        <v>1082.0485466098796</v>
      </c>
      <c r="R77" s="144">
        <v>1123</v>
      </c>
      <c r="S77" s="144">
        <v>1071</v>
      </c>
      <c r="T77" s="144">
        <v>1078</v>
      </c>
      <c r="U77" s="144">
        <v>1086.575840832</v>
      </c>
      <c r="V77" s="144">
        <v>1086.575840832</v>
      </c>
      <c r="W77" s="163">
        <v>1075.2574979647936</v>
      </c>
      <c r="X77" s="163">
        <v>1086.5760031509164</v>
      </c>
      <c r="Y77" s="163">
        <v>1148</v>
      </c>
    </row>
    <row r="78" spans="1:25" ht="15" x14ac:dyDescent="0.2">
      <c r="A78" s="141" t="s">
        <v>29</v>
      </c>
      <c r="B78" s="142">
        <v>8005</v>
      </c>
      <c r="C78" s="141" t="s">
        <v>796</v>
      </c>
      <c r="D78" s="141" t="s">
        <v>759</v>
      </c>
      <c r="E78" s="143" t="s">
        <v>840</v>
      </c>
      <c r="F78" s="143" t="s">
        <v>840</v>
      </c>
      <c r="G78" s="143" t="s">
        <v>840</v>
      </c>
      <c r="H78" s="143">
        <v>600</v>
      </c>
      <c r="I78" s="143">
        <v>650</v>
      </c>
      <c r="J78" s="143">
        <v>650</v>
      </c>
      <c r="K78" s="143">
        <v>513</v>
      </c>
      <c r="L78" s="143">
        <v>586</v>
      </c>
      <c r="M78" s="143">
        <v>586</v>
      </c>
      <c r="N78" s="143">
        <v>449</v>
      </c>
      <c r="O78" s="143">
        <v>498.51132062023504</v>
      </c>
      <c r="P78" s="143">
        <v>499.98178408520567</v>
      </c>
      <c r="Q78" s="144">
        <v>488.69493575187232</v>
      </c>
      <c r="R78" s="144">
        <v>469</v>
      </c>
      <c r="S78" s="144">
        <v>489</v>
      </c>
      <c r="T78" s="144">
        <v>475</v>
      </c>
      <c r="U78" s="144">
        <v>469</v>
      </c>
      <c r="V78" s="144">
        <v>557</v>
      </c>
      <c r="W78" s="163" t="s">
        <v>794</v>
      </c>
      <c r="X78" s="163" t="s">
        <v>794</v>
      </c>
      <c r="Y78" s="163" t="s">
        <v>794</v>
      </c>
    </row>
    <row r="79" spans="1:25" ht="15" x14ac:dyDescent="0.2">
      <c r="A79" s="141" t="s">
        <v>29</v>
      </c>
      <c r="B79" s="142">
        <v>8020</v>
      </c>
      <c r="C79" s="141" t="s">
        <v>797</v>
      </c>
      <c r="D79" s="141" t="s">
        <v>759</v>
      </c>
      <c r="E79" s="143">
        <v>1069</v>
      </c>
      <c r="F79" s="143">
        <v>1095</v>
      </c>
      <c r="G79" s="143">
        <v>1122</v>
      </c>
      <c r="H79" s="143">
        <v>1144</v>
      </c>
      <c r="I79" s="143">
        <v>1144</v>
      </c>
      <c r="J79" s="143">
        <v>1198</v>
      </c>
      <c r="K79" s="143">
        <v>1196</v>
      </c>
      <c r="L79" s="143">
        <v>1196</v>
      </c>
      <c r="M79" s="143">
        <v>1196</v>
      </c>
      <c r="N79" s="143">
        <v>1169</v>
      </c>
      <c r="O79" s="143">
        <v>1178</v>
      </c>
      <c r="P79" s="143">
        <v>1127.0027600000001</v>
      </c>
      <c r="Q79" s="144">
        <v>1127</v>
      </c>
      <c r="R79" s="144">
        <v>1127</v>
      </c>
      <c r="S79" s="144">
        <v>1127</v>
      </c>
      <c r="T79" s="144">
        <v>1127</v>
      </c>
      <c r="U79" s="144">
        <v>1127.0027600000001</v>
      </c>
      <c r="V79" s="144">
        <v>1127.0027600000001</v>
      </c>
      <c r="W79" s="163">
        <v>1127.0027600000001</v>
      </c>
      <c r="X79" s="163">
        <v>1127.002730846405</v>
      </c>
      <c r="Y79" s="163">
        <v>1127</v>
      </c>
    </row>
    <row r="80" spans="1:25" ht="15" x14ac:dyDescent="0.2">
      <c r="A80" s="141" t="s">
        <v>29</v>
      </c>
      <c r="B80" s="142">
        <v>8339</v>
      </c>
      <c r="C80" s="141" t="s">
        <v>68</v>
      </c>
      <c r="D80" s="141" t="s">
        <v>759</v>
      </c>
      <c r="E80" s="143">
        <v>2066</v>
      </c>
      <c r="F80" s="143">
        <v>2115</v>
      </c>
      <c r="G80" s="143">
        <v>6284</v>
      </c>
      <c r="H80" s="143">
        <v>6375</v>
      </c>
      <c r="I80" s="143">
        <v>5544</v>
      </c>
      <c r="J80" s="143">
        <v>5696</v>
      </c>
      <c r="K80" s="143">
        <v>5815</v>
      </c>
      <c r="L80" s="143">
        <v>5078</v>
      </c>
      <c r="M80" s="143">
        <v>5049</v>
      </c>
      <c r="N80" s="143">
        <v>9169</v>
      </c>
      <c r="O80" s="143">
        <v>7667</v>
      </c>
      <c r="P80" s="143">
        <v>6194.9380744715254</v>
      </c>
      <c r="Q80" s="144">
        <v>6251.3656246322525</v>
      </c>
      <c r="R80" s="144">
        <v>6290</v>
      </c>
      <c r="S80" s="144">
        <v>6652</v>
      </c>
      <c r="T80" s="144">
        <v>6458</v>
      </c>
      <c r="U80" s="144">
        <v>6212.8799970375467</v>
      </c>
      <c r="V80" s="144">
        <v>6253.6328270615504</v>
      </c>
      <c r="W80" s="163">
        <v>6354.766861420806</v>
      </c>
      <c r="X80" s="163">
        <v>6083.2020044806941</v>
      </c>
      <c r="Y80" s="163">
        <v>6704</v>
      </c>
    </row>
    <row r="81" spans="1:25" ht="15" x14ac:dyDescent="0.2">
      <c r="A81" s="141" t="s">
        <v>29</v>
      </c>
      <c r="B81" s="142">
        <v>8481</v>
      </c>
      <c r="C81" s="141" t="s">
        <v>798</v>
      </c>
      <c r="D81" s="141" t="s">
        <v>759</v>
      </c>
      <c r="E81" s="143" t="s">
        <v>840</v>
      </c>
      <c r="F81" s="143" t="s">
        <v>840</v>
      </c>
      <c r="G81" s="143" t="s">
        <v>840</v>
      </c>
      <c r="H81" s="143" t="s">
        <v>840</v>
      </c>
      <c r="I81" s="143">
        <v>3000</v>
      </c>
      <c r="J81" s="143">
        <v>3000</v>
      </c>
      <c r="K81" s="143">
        <v>3000</v>
      </c>
      <c r="L81" s="143">
        <v>3000</v>
      </c>
      <c r="M81" s="143">
        <v>3000</v>
      </c>
      <c r="N81" s="143">
        <v>5564</v>
      </c>
      <c r="O81" s="143">
        <v>5369.0832809972107</v>
      </c>
      <c r="P81" s="143">
        <v>4472.7392799999998</v>
      </c>
      <c r="Q81" s="144">
        <v>6618.2203999999992</v>
      </c>
      <c r="R81" s="144">
        <v>5776</v>
      </c>
      <c r="S81" s="144">
        <v>5761</v>
      </c>
      <c r="T81" s="144">
        <v>5891</v>
      </c>
      <c r="U81" s="144">
        <v>6147.1362399999998</v>
      </c>
      <c r="V81" s="144">
        <v>6303.31088</v>
      </c>
      <c r="W81" s="163">
        <v>6600.2987199999998</v>
      </c>
      <c r="X81" s="163">
        <v>7076.5034437179565</v>
      </c>
      <c r="Y81" s="163">
        <v>7455</v>
      </c>
    </row>
    <row r="82" spans="1:25" ht="15" x14ac:dyDescent="0.2">
      <c r="A82" s="141" t="s">
        <v>29</v>
      </c>
      <c r="B82" s="142">
        <v>9360</v>
      </c>
      <c r="C82" s="141" t="s">
        <v>799</v>
      </c>
      <c r="D82" s="141" t="s">
        <v>759</v>
      </c>
      <c r="E82" s="143">
        <v>592</v>
      </c>
      <c r="F82" s="143">
        <v>609</v>
      </c>
      <c r="G82" s="143">
        <v>626</v>
      </c>
      <c r="H82" s="143">
        <v>638</v>
      </c>
      <c r="I82" s="143">
        <v>1440</v>
      </c>
      <c r="J82" s="143">
        <v>2440</v>
      </c>
      <c r="K82" s="143">
        <v>2440</v>
      </c>
      <c r="L82" s="143">
        <v>2440</v>
      </c>
      <c r="M82" s="143">
        <v>2440</v>
      </c>
      <c r="N82" s="143">
        <v>2328</v>
      </c>
      <c r="O82" s="143">
        <v>2109.523251532356</v>
      </c>
      <c r="P82" s="143">
        <v>2143.2177099999999</v>
      </c>
      <c r="Q82" s="144">
        <v>2143.2177099999999</v>
      </c>
      <c r="R82" s="144">
        <v>2143</v>
      </c>
      <c r="S82" s="144"/>
      <c r="T82" s="144" t="s">
        <v>794</v>
      </c>
      <c r="U82" s="144" t="s">
        <v>794</v>
      </c>
      <c r="V82" s="144" t="s">
        <v>794</v>
      </c>
      <c r="W82" s="163" t="s">
        <v>794</v>
      </c>
      <c r="X82" s="163" t="s">
        <v>794</v>
      </c>
      <c r="Y82" s="163" t="s">
        <v>794</v>
      </c>
    </row>
    <row r="83" spans="1:25" ht="15" x14ac:dyDescent="0.2">
      <c r="A83" s="141" t="s">
        <v>20</v>
      </c>
      <c r="B83" s="142">
        <v>279</v>
      </c>
      <c r="C83" s="141" t="s">
        <v>483</v>
      </c>
      <c r="D83" s="141" t="s">
        <v>777</v>
      </c>
      <c r="E83" s="143" t="s">
        <v>840</v>
      </c>
      <c r="F83" s="143" t="s">
        <v>840</v>
      </c>
      <c r="G83" s="143">
        <v>3126</v>
      </c>
      <c r="H83" s="143">
        <v>3300</v>
      </c>
      <c r="I83" s="143">
        <v>3311</v>
      </c>
      <c r="J83" s="143">
        <v>3311</v>
      </c>
      <c r="K83" s="143">
        <v>3311</v>
      </c>
      <c r="L83" s="143">
        <v>3370</v>
      </c>
      <c r="M83" s="143">
        <v>3370</v>
      </c>
      <c r="N83" s="143">
        <v>2893</v>
      </c>
      <c r="O83" s="143">
        <v>3311</v>
      </c>
      <c r="P83" s="143">
        <v>3540.3069286601344</v>
      </c>
      <c r="Q83" s="144">
        <v>3480</v>
      </c>
      <c r="R83" s="144">
        <v>3335</v>
      </c>
      <c r="S83" s="144">
        <v>3552</v>
      </c>
      <c r="T83" s="144">
        <v>3522</v>
      </c>
      <c r="U83" s="144">
        <v>3551.8465264275901</v>
      </c>
      <c r="V83" s="144">
        <v>3553.4525405275899</v>
      </c>
      <c r="W83" s="163">
        <v>3553.4180214251037</v>
      </c>
      <c r="X83" s="163">
        <v>3703.409982915121</v>
      </c>
      <c r="Y83" s="163">
        <v>4105</v>
      </c>
    </row>
    <row r="84" spans="1:25" ht="15" x14ac:dyDescent="0.2">
      <c r="A84" s="141" t="s">
        <v>20</v>
      </c>
      <c r="B84" s="142">
        <v>540</v>
      </c>
      <c r="C84" s="141" t="s">
        <v>1</v>
      </c>
      <c r="D84" s="141" t="s">
        <v>777</v>
      </c>
      <c r="E84" s="143">
        <v>896</v>
      </c>
      <c r="F84" s="143">
        <v>896</v>
      </c>
      <c r="G84" s="143">
        <v>896</v>
      </c>
      <c r="H84" s="143">
        <v>908</v>
      </c>
      <c r="I84" s="143">
        <v>944</v>
      </c>
      <c r="J84" s="143">
        <v>944</v>
      </c>
      <c r="K84" s="143">
        <v>944</v>
      </c>
      <c r="L84" s="143">
        <v>944</v>
      </c>
      <c r="M84" s="143">
        <v>944</v>
      </c>
      <c r="N84" s="143">
        <v>830</v>
      </c>
      <c r="O84" s="143">
        <v>990.85315327874684</v>
      </c>
      <c r="P84" s="143">
        <v>1008.0577112950405</v>
      </c>
      <c r="Q84" s="144">
        <v>1008.0577112950405</v>
      </c>
      <c r="R84" s="144">
        <v>1008</v>
      </c>
      <c r="S84" s="144"/>
      <c r="T84" s="144" t="s">
        <v>794</v>
      </c>
      <c r="U84" s="144" t="s">
        <v>794</v>
      </c>
      <c r="V84" s="144" t="s">
        <v>794</v>
      </c>
      <c r="W84" s="163" t="s">
        <v>794</v>
      </c>
      <c r="X84" s="163" t="s">
        <v>794</v>
      </c>
      <c r="Y84" s="163" t="s">
        <v>794</v>
      </c>
    </row>
    <row r="85" spans="1:25" ht="15" x14ac:dyDescent="0.2">
      <c r="A85" s="141" t="s">
        <v>20</v>
      </c>
      <c r="B85" s="142">
        <v>543</v>
      </c>
      <c r="C85" s="141" t="s">
        <v>100</v>
      </c>
      <c r="D85" s="141" t="s">
        <v>777</v>
      </c>
      <c r="E85" s="143">
        <v>1226</v>
      </c>
      <c r="F85" s="143">
        <v>1226</v>
      </c>
      <c r="G85" s="143">
        <v>1226</v>
      </c>
      <c r="H85" s="143">
        <v>1226</v>
      </c>
      <c r="I85" s="143">
        <v>1226</v>
      </c>
      <c r="J85" s="143">
        <v>1230</v>
      </c>
      <c r="K85" s="143">
        <v>1230</v>
      </c>
      <c r="L85" s="143">
        <v>1205</v>
      </c>
      <c r="M85" s="143">
        <v>1205</v>
      </c>
      <c r="N85" s="143">
        <v>1133</v>
      </c>
      <c r="O85" s="143">
        <v>1325.4400381999121</v>
      </c>
      <c r="P85" s="143">
        <v>1344.7981710793874</v>
      </c>
      <c r="Q85" s="144">
        <v>1344.7981710793874</v>
      </c>
      <c r="R85" s="144">
        <v>1347</v>
      </c>
      <c r="S85" s="144"/>
      <c r="T85" s="144" t="s">
        <v>794</v>
      </c>
      <c r="U85" s="144" t="s">
        <v>794</v>
      </c>
      <c r="V85" s="144" t="s">
        <v>794</v>
      </c>
      <c r="W85" s="163" t="s">
        <v>794</v>
      </c>
      <c r="X85" s="163" t="s">
        <v>794</v>
      </c>
      <c r="Y85" s="163" t="s">
        <v>794</v>
      </c>
    </row>
    <row r="86" spans="1:25" ht="15" x14ac:dyDescent="0.2">
      <c r="A86" s="141" t="s">
        <v>20</v>
      </c>
      <c r="B86" s="142">
        <v>590</v>
      </c>
      <c r="C86" s="141" t="s">
        <v>483</v>
      </c>
      <c r="D86" s="141" t="s">
        <v>777</v>
      </c>
      <c r="E86" s="143">
        <v>4566</v>
      </c>
      <c r="F86" s="143">
        <v>4566</v>
      </c>
      <c r="G86" s="143">
        <v>4566</v>
      </c>
      <c r="H86" s="143">
        <v>4973</v>
      </c>
      <c r="I86" s="143">
        <v>4973</v>
      </c>
      <c r="J86" s="143">
        <v>4973</v>
      </c>
      <c r="K86" s="143">
        <v>4973</v>
      </c>
      <c r="L86" s="143">
        <v>7633</v>
      </c>
      <c r="M86" s="143">
        <v>4973</v>
      </c>
      <c r="N86" s="143">
        <v>7416</v>
      </c>
      <c r="O86" s="143">
        <v>7364.1086649609733</v>
      </c>
      <c r="P86" s="143">
        <v>8336</v>
      </c>
      <c r="Q86" s="144">
        <v>7395</v>
      </c>
      <c r="R86" s="144">
        <v>7593</v>
      </c>
      <c r="S86" s="144">
        <v>8115</v>
      </c>
      <c r="T86" s="144">
        <v>8337</v>
      </c>
      <c r="U86" s="144">
        <v>8092.0149071083752</v>
      </c>
      <c r="V86" s="144">
        <v>8609.1439980093328</v>
      </c>
      <c r="W86" s="163">
        <v>9060.3111722466529</v>
      </c>
      <c r="X86" s="163">
        <v>8366.4084289958373</v>
      </c>
      <c r="Y86" s="163">
        <v>8385</v>
      </c>
    </row>
    <row r="87" spans="1:25" ht="15" x14ac:dyDescent="0.2">
      <c r="A87" s="141" t="s">
        <v>20</v>
      </c>
      <c r="B87" s="142">
        <v>964</v>
      </c>
      <c r="C87" s="141" t="s">
        <v>800</v>
      </c>
      <c r="D87" s="141" t="s">
        <v>777</v>
      </c>
      <c r="E87" s="143" t="s">
        <v>840</v>
      </c>
      <c r="F87" s="143" t="s">
        <v>840</v>
      </c>
      <c r="G87" s="143" t="s">
        <v>840</v>
      </c>
      <c r="H87" s="143" t="s">
        <v>840</v>
      </c>
      <c r="I87" s="143" t="s">
        <v>840</v>
      </c>
      <c r="J87" s="143">
        <v>848</v>
      </c>
      <c r="K87" s="143">
        <v>848</v>
      </c>
      <c r="L87" s="143">
        <v>848</v>
      </c>
      <c r="M87" s="143">
        <v>848</v>
      </c>
      <c r="N87" s="143">
        <v>899</v>
      </c>
      <c r="O87" s="143">
        <v>869.28598054618737</v>
      </c>
      <c r="P87" s="143">
        <v>903.70186408979623</v>
      </c>
      <c r="Q87" s="144">
        <v>1029.1514801845237</v>
      </c>
      <c r="R87" s="144">
        <v>899</v>
      </c>
      <c r="S87" s="144">
        <v>913</v>
      </c>
      <c r="T87" s="144">
        <v>939</v>
      </c>
      <c r="U87" s="144">
        <v>933.90269759408238</v>
      </c>
      <c r="V87" s="144">
        <v>938.54897967166494</v>
      </c>
      <c r="W87" s="163">
        <v>938.54897967166494</v>
      </c>
      <c r="X87" s="163" t="s">
        <v>794</v>
      </c>
      <c r="Y87" s="163" t="s">
        <v>794</v>
      </c>
    </row>
    <row r="88" spans="1:25" ht="15" x14ac:dyDescent="0.2">
      <c r="A88" s="141" t="s">
        <v>20</v>
      </c>
      <c r="B88" s="142">
        <v>1631</v>
      </c>
      <c r="C88" s="141" t="s">
        <v>65</v>
      </c>
      <c r="D88" s="141" t="s">
        <v>777</v>
      </c>
      <c r="E88" s="143">
        <v>12315</v>
      </c>
      <c r="F88" s="143">
        <v>12603</v>
      </c>
      <c r="G88" s="143">
        <v>12603</v>
      </c>
      <c r="H88" s="143">
        <v>12603</v>
      </c>
      <c r="I88" s="143">
        <v>12090</v>
      </c>
      <c r="J88" s="143">
        <v>12338</v>
      </c>
      <c r="K88" s="143">
        <v>12068</v>
      </c>
      <c r="L88" s="143">
        <v>12342</v>
      </c>
      <c r="M88" s="143">
        <v>11779</v>
      </c>
      <c r="N88" s="143">
        <v>10653</v>
      </c>
      <c r="O88" s="143">
        <v>11164</v>
      </c>
      <c r="P88" s="143">
        <v>11913.469663075537</v>
      </c>
      <c r="Q88" s="144">
        <v>11849.498104303542</v>
      </c>
      <c r="R88" s="144">
        <v>11858</v>
      </c>
      <c r="S88" s="144">
        <v>11917</v>
      </c>
      <c r="T88" s="144">
        <v>12304</v>
      </c>
      <c r="U88" s="144">
        <v>12428.634343885849</v>
      </c>
      <c r="V88" s="144">
        <v>12530.428126434146</v>
      </c>
      <c r="W88" s="163">
        <v>12610.793489104593</v>
      </c>
      <c r="X88" s="163">
        <v>12814.365153465529</v>
      </c>
      <c r="Y88" s="163">
        <v>13231</v>
      </c>
    </row>
    <row r="89" spans="1:25" ht="15" x14ac:dyDescent="0.2">
      <c r="A89" s="141" t="s">
        <v>20</v>
      </c>
      <c r="B89" s="142">
        <v>2043</v>
      </c>
      <c r="C89" s="141" t="s">
        <v>801</v>
      </c>
      <c r="D89" s="141" t="s">
        <v>777</v>
      </c>
      <c r="E89" s="143">
        <v>1065</v>
      </c>
      <c r="F89" s="143">
        <v>1047</v>
      </c>
      <c r="G89" s="143">
        <v>1047</v>
      </c>
      <c r="H89" s="143">
        <v>1047</v>
      </c>
      <c r="I89" s="143">
        <v>1047</v>
      </c>
      <c r="J89" s="143">
        <v>1047</v>
      </c>
      <c r="K89" s="143">
        <v>1047</v>
      </c>
      <c r="L89" s="143">
        <v>991</v>
      </c>
      <c r="M89" s="143">
        <v>991</v>
      </c>
      <c r="N89" s="143">
        <v>987</v>
      </c>
      <c r="O89" s="143">
        <v>1040.0887231352012</v>
      </c>
      <c r="P89" s="143">
        <v>1037.1279876894075</v>
      </c>
      <c r="Q89" s="144">
        <v>1032.9638871179789</v>
      </c>
      <c r="R89" s="144">
        <v>1033</v>
      </c>
      <c r="S89" s="144">
        <v>1040</v>
      </c>
      <c r="T89" s="144">
        <v>1040</v>
      </c>
      <c r="U89" s="144" t="s">
        <v>794</v>
      </c>
      <c r="V89" s="144">
        <v>1040</v>
      </c>
      <c r="W89" s="163" t="s">
        <v>794</v>
      </c>
      <c r="X89" s="163" t="s">
        <v>794</v>
      </c>
      <c r="Y89" s="163" t="s">
        <v>794</v>
      </c>
    </row>
    <row r="90" spans="1:25" ht="15" x14ac:dyDescent="0.2">
      <c r="A90" s="141" t="s">
        <v>20</v>
      </c>
      <c r="B90" s="142">
        <v>2978</v>
      </c>
      <c r="C90" s="141" t="s">
        <v>483</v>
      </c>
      <c r="D90" s="141" t="s">
        <v>777</v>
      </c>
      <c r="E90" s="143">
        <v>9397</v>
      </c>
      <c r="F90" s="143">
        <v>9529</v>
      </c>
      <c r="G90" s="143">
        <v>10558</v>
      </c>
      <c r="H90" s="143">
        <v>9152</v>
      </c>
      <c r="I90" s="143">
        <v>9279</v>
      </c>
      <c r="J90" s="143">
        <v>9644</v>
      </c>
      <c r="K90" s="143">
        <v>9805</v>
      </c>
      <c r="L90" s="143">
        <v>9805</v>
      </c>
      <c r="M90" s="143">
        <v>9446</v>
      </c>
      <c r="N90" s="143">
        <v>5706</v>
      </c>
      <c r="O90" s="143">
        <v>5711.3041670269631</v>
      </c>
      <c r="P90" s="143">
        <v>5751.5700331486487</v>
      </c>
      <c r="Q90" s="144">
        <v>5500.3961693860092</v>
      </c>
      <c r="R90" s="144">
        <v>5839</v>
      </c>
      <c r="S90" s="144">
        <v>5839</v>
      </c>
      <c r="T90" s="144">
        <v>5315</v>
      </c>
      <c r="U90" s="144">
        <v>5333.5323411408153</v>
      </c>
      <c r="V90" s="144">
        <v>5342.2392004408157</v>
      </c>
      <c r="W90" s="163">
        <v>5410</v>
      </c>
      <c r="X90" s="163">
        <v>5444.3420528156184</v>
      </c>
      <c r="Y90" s="163">
        <v>5489</v>
      </c>
    </row>
    <row r="91" spans="1:25" ht="15" x14ac:dyDescent="0.2">
      <c r="A91" s="141" t="s">
        <v>20</v>
      </c>
      <c r="B91" s="142">
        <v>3182</v>
      </c>
      <c r="C91" s="141" t="s">
        <v>483</v>
      </c>
      <c r="D91" s="141" t="s">
        <v>777</v>
      </c>
      <c r="E91" s="143">
        <v>23700</v>
      </c>
      <c r="F91" s="143">
        <v>24231</v>
      </c>
      <c r="G91" s="143">
        <v>28035</v>
      </c>
      <c r="H91" s="143">
        <v>29618</v>
      </c>
      <c r="I91" s="143">
        <v>31866</v>
      </c>
      <c r="J91" s="143">
        <v>32435</v>
      </c>
      <c r="K91" s="143">
        <v>33176</v>
      </c>
      <c r="L91" s="143">
        <v>32834</v>
      </c>
      <c r="M91" s="143">
        <v>28589</v>
      </c>
      <c r="N91" s="143">
        <v>26197</v>
      </c>
      <c r="O91" s="143">
        <v>29198</v>
      </c>
      <c r="P91" s="143">
        <v>30040.415442122168</v>
      </c>
      <c r="Q91" s="144">
        <v>31714</v>
      </c>
      <c r="R91" s="144">
        <v>30722</v>
      </c>
      <c r="S91" s="144">
        <v>31020</v>
      </c>
      <c r="T91" s="144">
        <v>31000</v>
      </c>
      <c r="U91" s="144">
        <v>30934.684045495029</v>
      </c>
      <c r="V91" s="144">
        <v>30569.74166800073</v>
      </c>
      <c r="W91" s="163">
        <v>30872.056272525202</v>
      </c>
      <c r="X91" s="163">
        <v>31042.096868534616</v>
      </c>
      <c r="Y91" s="163">
        <v>31872</v>
      </c>
    </row>
    <row r="92" spans="1:25" ht="15" x14ac:dyDescent="0.2">
      <c r="A92" s="141" t="s">
        <v>20</v>
      </c>
      <c r="B92" s="142">
        <v>3590</v>
      </c>
      <c r="C92" s="141" t="s">
        <v>792</v>
      </c>
      <c r="D92" s="141" t="s">
        <v>777</v>
      </c>
      <c r="E92" s="143">
        <v>1285</v>
      </c>
      <c r="F92" s="143">
        <v>2496</v>
      </c>
      <c r="G92" s="143">
        <v>2770</v>
      </c>
      <c r="H92" s="143">
        <v>2763</v>
      </c>
      <c r="I92" s="143">
        <v>2763</v>
      </c>
      <c r="J92" s="143">
        <v>3102</v>
      </c>
      <c r="K92" s="143">
        <v>3102</v>
      </c>
      <c r="L92" s="143">
        <v>3102</v>
      </c>
      <c r="M92" s="143">
        <v>3220</v>
      </c>
      <c r="N92" s="143">
        <v>3212</v>
      </c>
      <c r="O92" s="143">
        <v>3235.7283699999998</v>
      </c>
      <c r="P92" s="143">
        <v>2205.1948345405017</v>
      </c>
      <c r="Q92" s="144">
        <v>3747.814999901093</v>
      </c>
      <c r="R92" s="144">
        <v>3640</v>
      </c>
      <c r="S92" s="144">
        <v>3744</v>
      </c>
      <c r="T92" s="144">
        <v>3754</v>
      </c>
      <c r="U92" s="144">
        <v>3758</v>
      </c>
      <c r="V92" s="144">
        <v>3772.2046840311195</v>
      </c>
      <c r="W92" s="163">
        <v>3757.9772272489322</v>
      </c>
      <c r="X92" s="163">
        <v>3760.0095975658978</v>
      </c>
      <c r="Y92" s="163">
        <v>3646</v>
      </c>
    </row>
    <row r="93" spans="1:25" ht="15" x14ac:dyDescent="0.2">
      <c r="A93" s="141" t="s">
        <v>20</v>
      </c>
      <c r="B93" s="142">
        <v>3668</v>
      </c>
      <c r="C93" s="141" t="s">
        <v>792</v>
      </c>
      <c r="D93" s="141" t="s">
        <v>777</v>
      </c>
      <c r="E93" s="143">
        <v>1200</v>
      </c>
      <c r="F93" s="143">
        <v>1796</v>
      </c>
      <c r="G93" s="143">
        <v>2484</v>
      </c>
      <c r="H93" s="143">
        <v>2400</v>
      </c>
      <c r="I93" s="143">
        <v>2313</v>
      </c>
      <c r="J93" s="143">
        <v>2848</v>
      </c>
      <c r="K93" s="143">
        <v>2848</v>
      </c>
      <c r="L93" s="143">
        <v>2848</v>
      </c>
      <c r="M93" s="143">
        <v>2571</v>
      </c>
      <c r="N93" s="143">
        <v>2175</v>
      </c>
      <c r="O93" s="143">
        <v>3148</v>
      </c>
      <c r="P93" s="143">
        <v>2500.6317148131443</v>
      </c>
      <c r="Q93" s="144">
        <v>2487.9058536690568</v>
      </c>
      <c r="R93" s="144">
        <v>2530</v>
      </c>
      <c r="S93" s="144">
        <v>2554</v>
      </c>
      <c r="T93" s="144">
        <v>2554</v>
      </c>
      <c r="U93" s="144" t="s">
        <v>794</v>
      </c>
      <c r="V93" s="144" t="s">
        <v>794</v>
      </c>
      <c r="W93" s="163" t="s">
        <v>794</v>
      </c>
      <c r="X93" s="163" t="s">
        <v>794</v>
      </c>
      <c r="Y93" s="163" t="s">
        <v>794</v>
      </c>
    </row>
    <row r="94" spans="1:25" ht="15" x14ac:dyDescent="0.2">
      <c r="A94" s="141" t="s">
        <v>20</v>
      </c>
      <c r="B94" s="142">
        <v>3677</v>
      </c>
      <c r="C94" s="141" t="s">
        <v>483</v>
      </c>
      <c r="D94" s="141" t="s">
        <v>777</v>
      </c>
      <c r="E94" s="143" t="s">
        <v>840</v>
      </c>
      <c r="F94" s="143" t="s">
        <v>841</v>
      </c>
      <c r="G94" s="143">
        <v>2097</v>
      </c>
      <c r="H94" s="143">
        <v>2097</v>
      </c>
      <c r="I94" s="143">
        <v>2097</v>
      </c>
      <c r="J94" s="143">
        <v>2097</v>
      </c>
      <c r="K94" s="143">
        <v>2097</v>
      </c>
      <c r="L94" s="143">
        <v>1458</v>
      </c>
      <c r="M94" s="143">
        <v>1536</v>
      </c>
      <c r="N94" s="143">
        <v>1271</v>
      </c>
      <c r="O94" s="143">
        <v>1592.8790749640164</v>
      </c>
      <c r="P94" s="143">
        <v>1574.320850753887</v>
      </c>
      <c r="Q94" s="144">
        <v>1591.2053210473318</v>
      </c>
      <c r="R94" s="144">
        <v>1584</v>
      </c>
      <c r="S94" s="144">
        <v>1612</v>
      </c>
      <c r="T94" s="144">
        <v>1612</v>
      </c>
      <c r="U94" s="144">
        <v>1611.5185804649575</v>
      </c>
      <c r="V94" s="144">
        <v>1611.5185804649575</v>
      </c>
      <c r="W94" s="163" t="s">
        <v>794</v>
      </c>
      <c r="X94" s="163" t="s">
        <v>794</v>
      </c>
      <c r="Y94" s="163" t="s">
        <v>794</v>
      </c>
    </row>
    <row r="95" spans="1:25" ht="15" x14ac:dyDescent="0.2">
      <c r="A95" s="141" t="s">
        <v>20</v>
      </c>
      <c r="B95" s="142">
        <v>3692</v>
      </c>
      <c r="C95" s="141" t="s">
        <v>80</v>
      </c>
      <c r="D95" s="141" t="s">
        <v>777</v>
      </c>
      <c r="E95" s="143">
        <v>8368</v>
      </c>
      <c r="F95" s="143">
        <v>8135</v>
      </c>
      <c r="G95" s="143">
        <v>7800</v>
      </c>
      <c r="H95" s="143">
        <v>8566</v>
      </c>
      <c r="I95" s="143">
        <v>9692</v>
      </c>
      <c r="J95" s="143">
        <v>9854</v>
      </c>
      <c r="K95" s="143">
        <v>9221</v>
      </c>
      <c r="L95" s="143">
        <v>9773</v>
      </c>
      <c r="M95" s="143">
        <v>10835</v>
      </c>
      <c r="N95" s="143">
        <v>8568</v>
      </c>
      <c r="O95" s="143">
        <v>14718.749724419125</v>
      </c>
      <c r="P95" s="143">
        <v>14595.318905383592</v>
      </c>
      <c r="Q95" s="144">
        <v>13732.425349205567</v>
      </c>
      <c r="R95" s="144">
        <v>14033</v>
      </c>
      <c r="S95" s="144">
        <v>13459</v>
      </c>
      <c r="T95" s="144">
        <v>11855</v>
      </c>
      <c r="U95" s="144">
        <v>7610.8797812416178</v>
      </c>
      <c r="V95" s="144">
        <v>7704.4747504649695</v>
      </c>
      <c r="W95" s="163">
        <v>7738.717844485991</v>
      </c>
      <c r="X95" s="163">
        <v>7732</v>
      </c>
      <c r="Y95" s="163">
        <v>7626</v>
      </c>
    </row>
    <row r="96" spans="1:25" ht="15" x14ac:dyDescent="0.2">
      <c r="A96" s="141" t="s">
        <v>20</v>
      </c>
      <c r="B96" s="142">
        <v>3759</v>
      </c>
      <c r="C96" s="141" t="s">
        <v>911</v>
      </c>
      <c r="D96" s="141" t="s">
        <v>777</v>
      </c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4"/>
      <c r="R96" s="144">
        <v>2309</v>
      </c>
      <c r="S96" s="144"/>
      <c r="T96" s="144" t="s">
        <v>794</v>
      </c>
      <c r="U96" s="144" t="s">
        <v>794</v>
      </c>
      <c r="V96" s="144" t="s">
        <v>794</v>
      </c>
      <c r="W96" s="163" t="s">
        <v>794</v>
      </c>
      <c r="X96" s="163" t="s">
        <v>794</v>
      </c>
      <c r="Y96" s="163" t="s">
        <v>794</v>
      </c>
    </row>
    <row r="97" spans="1:25" ht="15" x14ac:dyDescent="0.2">
      <c r="A97" s="141" t="s">
        <v>20</v>
      </c>
      <c r="B97" s="142">
        <v>4550</v>
      </c>
      <c r="C97" s="141" t="s">
        <v>83</v>
      </c>
      <c r="D97" s="141" t="s">
        <v>777</v>
      </c>
      <c r="E97" s="143">
        <v>900</v>
      </c>
      <c r="F97" s="143">
        <v>900</v>
      </c>
      <c r="G97" s="143">
        <v>900</v>
      </c>
      <c r="H97" s="143">
        <v>900</v>
      </c>
      <c r="I97" s="143">
        <v>1000</v>
      </c>
      <c r="J97" s="143">
        <v>1000</v>
      </c>
      <c r="K97" s="143">
        <v>1000</v>
      </c>
      <c r="L97" s="143">
        <v>1000</v>
      </c>
      <c r="M97" s="143">
        <v>1000</v>
      </c>
      <c r="N97" s="143">
        <v>1071</v>
      </c>
      <c r="O97" s="143">
        <v>1308.72</v>
      </c>
      <c r="P97" s="143">
        <v>1316</v>
      </c>
      <c r="Q97" s="144">
        <v>1285</v>
      </c>
      <c r="R97" s="144">
        <v>1324</v>
      </c>
      <c r="S97" s="144">
        <v>1383</v>
      </c>
      <c r="T97" s="144">
        <v>2216</v>
      </c>
      <c r="U97" s="144">
        <v>2346</v>
      </c>
      <c r="V97" s="144">
        <v>2353.8601365279774</v>
      </c>
      <c r="W97" s="163">
        <v>2421.4521931346285</v>
      </c>
      <c r="X97" s="163">
        <v>2455.2399104622136</v>
      </c>
      <c r="Y97" s="163">
        <v>2503</v>
      </c>
    </row>
    <row r="98" spans="1:25" ht="15" x14ac:dyDescent="0.2">
      <c r="A98" s="141" t="s">
        <v>20</v>
      </c>
      <c r="B98" s="142">
        <v>4668</v>
      </c>
      <c r="C98" s="141" t="s">
        <v>792</v>
      </c>
      <c r="D98" s="141" t="s">
        <v>777</v>
      </c>
      <c r="E98" s="143">
        <v>1268</v>
      </c>
      <c r="F98" s="143">
        <v>1295</v>
      </c>
      <c r="G98" s="143">
        <v>1480</v>
      </c>
      <c r="H98" s="143">
        <v>1480</v>
      </c>
      <c r="I98" s="143">
        <v>1478</v>
      </c>
      <c r="J98" s="143">
        <v>1478</v>
      </c>
      <c r="K98" s="143">
        <v>1678</v>
      </c>
      <c r="L98" s="143">
        <v>1596</v>
      </c>
      <c r="M98" s="143">
        <v>1692</v>
      </c>
      <c r="N98" s="143">
        <v>1231</v>
      </c>
      <c r="O98" s="143">
        <v>1762.0254009284399</v>
      </c>
      <c r="P98" s="143">
        <v>1227.6884806443352</v>
      </c>
      <c r="Q98" s="144">
        <v>0</v>
      </c>
      <c r="R98" s="144">
        <v>0</v>
      </c>
      <c r="S98" s="144"/>
      <c r="T98" s="144" t="s">
        <v>794</v>
      </c>
      <c r="U98" s="144" t="s">
        <v>794</v>
      </c>
      <c r="V98" s="144" t="s">
        <v>794</v>
      </c>
      <c r="W98" s="163" t="s">
        <v>794</v>
      </c>
      <c r="X98" s="163" t="s">
        <v>794</v>
      </c>
      <c r="Y98" s="163" t="s">
        <v>794</v>
      </c>
    </row>
    <row r="99" spans="1:25" ht="15" x14ac:dyDescent="0.2">
      <c r="A99" s="141" t="s">
        <v>20</v>
      </c>
      <c r="B99" s="142">
        <v>4669</v>
      </c>
      <c r="C99" s="141" t="s">
        <v>802</v>
      </c>
      <c r="D99" s="141" t="s">
        <v>777</v>
      </c>
      <c r="E99" s="143">
        <v>6258</v>
      </c>
      <c r="F99" s="143">
        <v>6419.4564</v>
      </c>
      <c r="G99" s="143">
        <v>7461</v>
      </c>
      <c r="H99" s="143">
        <v>7500</v>
      </c>
      <c r="I99" s="143">
        <v>7598</v>
      </c>
      <c r="J99" s="143">
        <v>7599</v>
      </c>
      <c r="K99" s="143">
        <v>7600</v>
      </c>
      <c r="L99" s="143">
        <v>7600</v>
      </c>
      <c r="M99" s="143">
        <v>7235</v>
      </c>
      <c r="N99" s="143">
        <v>5915</v>
      </c>
      <c r="O99" s="143">
        <v>6881</v>
      </c>
      <c r="P99" s="143">
        <v>7086.00240895562</v>
      </c>
      <c r="Q99" s="144">
        <v>7029.1186988639438</v>
      </c>
      <c r="R99" s="144">
        <v>7312</v>
      </c>
      <c r="S99" s="144">
        <v>7318</v>
      </c>
      <c r="T99" s="144">
        <v>7910</v>
      </c>
      <c r="U99" s="144">
        <v>6418.1896093679661</v>
      </c>
      <c r="V99" s="144">
        <v>7148.1098442490957</v>
      </c>
      <c r="W99" s="163">
        <v>7047</v>
      </c>
      <c r="X99" s="163">
        <v>7277.3001241078655</v>
      </c>
      <c r="Y99" s="163">
        <v>7169</v>
      </c>
    </row>
    <row r="100" spans="1:25" ht="15" x14ac:dyDescent="0.2">
      <c r="A100" s="141" t="s">
        <v>20</v>
      </c>
      <c r="B100" s="142">
        <v>4734</v>
      </c>
      <c r="C100" s="141" t="s">
        <v>3</v>
      </c>
      <c r="D100" s="141" t="s">
        <v>777</v>
      </c>
      <c r="E100" s="143">
        <v>29744</v>
      </c>
      <c r="F100" s="143">
        <v>29744</v>
      </c>
      <c r="G100" s="143">
        <v>29150</v>
      </c>
      <c r="H100" s="143">
        <v>29500</v>
      </c>
      <c r="I100" s="143">
        <v>29825</v>
      </c>
      <c r="J100" s="143">
        <v>30220</v>
      </c>
      <c r="K100" s="143">
        <v>29101</v>
      </c>
      <c r="L100" s="143">
        <v>29015</v>
      </c>
      <c r="M100" s="143">
        <v>31422</v>
      </c>
      <c r="N100" s="143">
        <v>30077</v>
      </c>
      <c r="O100" s="143">
        <v>31100.48929135724</v>
      </c>
      <c r="P100" s="143">
        <v>31421.20252364449</v>
      </c>
      <c r="Q100" s="144">
        <v>31608.956998674093</v>
      </c>
      <c r="R100" s="144">
        <v>32575</v>
      </c>
      <c r="S100" s="144">
        <v>33387</v>
      </c>
      <c r="T100" s="144">
        <v>33500</v>
      </c>
      <c r="U100" s="144">
        <v>33432</v>
      </c>
      <c r="V100" s="144">
        <v>35239.189654770998</v>
      </c>
      <c r="W100" s="163">
        <v>35475.771850825608</v>
      </c>
      <c r="X100" s="163">
        <v>32782.824421360681</v>
      </c>
      <c r="Y100" s="163">
        <v>33039</v>
      </c>
    </row>
    <row r="101" spans="1:25" ht="15" x14ac:dyDescent="0.2">
      <c r="A101" s="141" t="s">
        <v>20</v>
      </c>
      <c r="B101" s="142">
        <v>6040</v>
      </c>
      <c r="C101" s="141" t="s">
        <v>95</v>
      </c>
      <c r="D101" s="141" t="s">
        <v>777</v>
      </c>
      <c r="E101" s="143">
        <v>19874</v>
      </c>
      <c r="F101" s="143">
        <v>19910</v>
      </c>
      <c r="G101" s="143">
        <v>19843</v>
      </c>
      <c r="H101" s="143">
        <v>19910</v>
      </c>
      <c r="I101" s="143">
        <v>21728</v>
      </c>
      <c r="J101" s="143">
        <v>23677</v>
      </c>
      <c r="K101" s="143">
        <v>26127</v>
      </c>
      <c r="L101" s="143">
        <v>26127</v>
      </c>
      <c r="M101" s="143">
        <v>21361</v>
      </c>
      <c r="N101" s="143">
        <v>19589</v>
      </c>
      <c r="O101" s="143">
        <v>21738</v>
      </c>
      <c r="P101" s="143">
        <v>22929.878065055556</v>
      </c>
      <c r="Q101" s="144">
        <v>21914.457964843918</v>
      </c>
      <c r="R101" s="144">
        <v>26708</v>
      </c>
      <c r="S101" s="144">
        <v>27514</v>
      </c>
      <c r="T101" s="144">
        <v>27880</v>
      </c>
      <c r="U101" s="144">
        <v>27455.99829952039</v>
      </c>
      <c r="V101" s="144">
        <v>27734.354783439936</v>
      </c>
      <c r="W101" s="163">
        <v>27823.979686613737</v>
      </c>
      <c r="X101" s="163">
        <v>28584</v>
      </c>
      <c r="Y101" s="163">
        <v>29117</v>
      </c>
    </row>
    <row r="102" spans="1:25" ht="15" x14ac:dyDescent="0.2">
      <c r="A102" s="141" t="s">
        <v>20</v>
      </c>
      <c r="B102" s="142">
        <v>7299</v>
      </c>
      <c r="C102" s="141" t="s">
        <v>803</v>
      </c>
      <c r="D102" s="141" t="s">
        <v>777</v>
      </c>
      <c r="E102" s="143" t="s">
        <v>840</v>
      </c>
      <c r="F102" s="143" t="s">
        <v>840</v>
      </c>
      <c r="G102" s="143" t="s">
        <v>840</v>
      </c>
      <c r="H102" s="143" t="s">
        <v>840</v>
      </c>
      <c r="I102" s="143" t="s">
        <v>840</v>
      </c>
      <c r="J102" s="143" t="s">
        <v>840</v>
      </c>
      <c r="K102" s="143" t="s">
        <v>840</v>
      </c>
      <c r="L102" s="143">
        <v>641</v>
      </c>
      <c r="M102" s="143">
        <v>641</v>
      </c>
      <c r="N102" s="143">
        <v>620</v>
      </c>
      <c r="O102" s="143">
        <v>888.81053078240984</v>
      </c>
      <c r="P102" s="143">
        <v>984.60872004659359</v>
      </c>
      <c r="Q102" s="144">
        <v>0</v>
      </c>
      <c r="R102" s="144">
        <v>0</v>
      </c>
      <c r="S102" s="144"/>
      <c r="T102" s="144" t="s">
        <v>794</v>
      </c>
      <c r="U102" s="144" t="s">
        <v>794</v>
      </c>
      <c r="V102" s="144" t="s">
        <v>794</v>
      </c>
      <c r="W102" s="163" t="s">
        <v>794</v>
      </c>
      <c r="X102" s="163" t="s">
        <v>794</v>
      </c>
      <c r="Y102" s="163" t="s">
        <v>794</v>
      </c>
    </row>
    <row r="103" spans="1:25" ht="15" x14ac:dyDescent="0.2">
      <c r="A103" s="141" t="s">
        <v>20</v>
      </c>
      <c r="B103" s="142">
        <v>7999</v>
      </c>
      <c r="C103" s="141" t="s">
        <v>483</v>
      </c>
      <c r="D103" s="141" t="s">
        <v>777</v>
      </c>
      <c r="E103" s="143">
        <v>1645</v>
      </c>
      <c r="F103" s="143">
        <v>1657</v>
      </c>
      <c r="G103" s="143">
        <v>1669</v>
      </c>
      <c r="H103" s="143">
        <v>1720</v>
      </c>
      <c r="I103" s="143">
        <v>1720</v>
      </c>
      <c r="J103" s="143">
        <v>1720</v>
      </c>
      <c r="K103" s="143">
        <v>1720</v>
      </c>
      <c r="L103" s="143">
        <v>1396</v>
      </c>
      <c r="M103" s="143">
        <v>1994</v>
      </c>
      <c r="N103" s="143">
        <v>1979</v>
      </c>
      <c r="O103" s="143">
        <v>1914</v>
      </c>
      <c r="P103" s="143">
        <v>1943.2864</v>
      </c>
      <c r="Q103" s="144">
        <v>1943.2864</v>
      </c>
      <c r="R103" s="144">
        <v>1971</v>
      </c>
      <c r="S103" s="144">
        <v>1971</v>
      </c>
      <c r="T103" s="144">
        <v>1987</v>
      </c>
      <c r="U103" s="144">
        <v>1990.2123499999998</v>
      </c>
      <c r="V103" s="144">
        <v>2009.5347999999999</v>
      </c>
      <c r="W103" s="163">
        <v>2006.7744499999999</v>
      </c>
      <c r="X103" s="163">
        <v>2026.0968918800354</v>
      </c>
      <c r="Y103" s="163">
        <v>2037</v>
      </c>
    </row>
    <row r="104" spans="1:25" ht="15" x14ac:dyDescent="0.2">
      <c r="A104" s="141" t="s">
        <v>20</v>
      </c>
      <c r="B104" s="142">
        <v>8417</v>
      </c>
      <c r="C104" s="141" t="s">
        <v>483</v>
      </c>
      <c r="D104" s="141" t="s">
        <v>777</v>
      </c>
      <c r="E104" s="143">
        <v>8237</v>
      </c>
      <c r="F104" s="143">
        <v>7609</v>
      </c>
      <c r="G104" s="143">
        <v>8567</v>
      </c>
      <c r="H104" s="143">
        <v>8567</v>
      </c>
      <c r="I104" s="143">
        <v>8588</v>
      </c>
      <c r="J104" s="143">
        <v>8277</v>
      </c>
      <c r="K104" s="143">
        <v>8230</v>
      </c>
      <c r="L104" s="143">
        <v>6783</v>
      </c>
      <c r="M104" s="143">
        <v>6861</v>
      </c>
      <c r="N104" s="143">
        <v>4812</v>
      </c>
      <c r="O104" s="143">
        <v>7306.9407727272728</v>
      </c>
      <c r="P104" s="143">
        <v>7518.0076339521029</v>
      </c>
      <c r="Q104" s="144">
        <v>7022.0120172955203</v>
      </c>
      <c r="R104" s="144">
        <v>7591</v>
      </c>
      <c r="S104" s="144">
        <v>7631</v>
      </c>
      <c r="T104" s="144">
        <v>7867</v>
      </c>
      <c r="U104" s="144">
        <v>7864.9373970228089</v>
      </c>
      <c r="V104" s="144">
        <v>7961.9126217751482</v>
      </c>
      <c r="W104" s="163">
        <v>7959.345243122073</v>
      </c>
      <c r="X104" s="163">
        <v>7965.5365096848655</v>
      </c>
      <c r="Y104" s="163">
        <v>7933</v>
      </c>
    </row>
    <row r="105" spans="1:25" ht="15" x14ac:dyDescent="0.2">
      <c r="A105" s="141" t="s">
        <v>20</v>
      </c>
      <c r="B105" s="142">
        <v>11863</v>
      </c>
      <c r="C105" s="141" t="s">
        <v>804</v>
      </c>
      <c r="D105" s="141" t="s">
        <v>777</v>
      </c>
      <c r="E105" s="143">
        <v>0</v>
      </c>
      <c r="F105" s="143">
        <v>0</v>
      </c>
      <c r="G105" s="143">
        <v>0</v>
      </c>
      <c r="H105" s="143">
        <v>0</v>
      </c>
      <c r="I105" s="143">
        <v>0</v>
      </c>
      <c r="J105" s="143">
        <v>0</v>
      </c>
      <c r="K105" s="143">
        <v>0</v>
      </c>
      <c r="L105" s="143">
        <v>0</v>
      </c>
      <c r="M105" s="143">
        <v>217124</v>
      </c>
      <c r="N105" s="143">
        <v>221781</v>
      </c>
      <c r="O105" s="143">
        <v>212260</v>
      </c>
      <c r="P105" s="143">
        <v>216805.38236748049</v>
      </c>
      <c r="Q105" s="144">
        <v>218506.07081345367</v>
      </c>
      <c r="R105" s="144">
        <v>247391</v>
      </c>
      <c r="S105" s="144">
        <v>276254</v>
      </c>
      <c r="T105" s="144">
        <v>276526</v>
      </c>
      <c r="U105" s="144">
        <v>283070</v>
      </c>
      <c r="V105" s="144">
        <v>290199.79044932907</v>
      </c>
      <c r="W105" s="163">
        <v>297290.47290409514</v>
      </c>
      <c r="X105" s="163">
        <v>310502.21468423947</v>
      </c>
      <c r="Y105" s="163">
        <v>330615</v>
      </c>
    </row>
    <row r="106" spans="1:25" ht="15" x14ac:dyDescent="0.2">
      <c r="A106" s="149" t="s">
        <v>21</v>
      </c>
      <c r="B106" s="142">
        <v>742</v>
      </c>
      <c r="C106" s="141" t="s">
        <v>87</v>
      </c>
      <c r="D106" s="141" t="s">
        <v>777</v>
      </c>
      <c r="E106" s="143">
        <v>20949</v>
      </c>
      <c r="F106" s="143">
        <v>22180</v>
      </c>
      <c r="G106" s="143">
        <v>29126</v>
      </c>
      <c r="H106" s="143">
        <v>31239</v>
      </c>
      <c r="I106" s="143">
        <v>33105</v>
      </c>
      <c r="J106" s="143">
        <v>33105</v>
      </c>
      <c r="K106" s="143">
        <v>31749</v>
      </c>
      <c r="L106" s="143">
        <v>32301</v>
      </c>
      <c r="M106" s="143">
        <v>32103</v>
      </c>
      <c r="N106" s="143">
        <v>29051</v>
      </c>
      <c r="O106" s="143">
        <v>30355</v>
      </c>
      <c r="P106" s="143">
        <v>31156.25062054443</v>
      </c>
      <c r="Q106" s="144">
        <v>31006.454314737279</v>
      </c>
      <c r="R106" s="144">
        <v>31086</v>
      </c>
      <c r="S106" s="144">
        <v>31123</v>
      </c>
      <c r="T106" s="144">
        <v>33736</v>
      </c>
      <c r="U106" s="144">
        <v>30963.580532913333</v>
      </c>
      <c r="V106" s="144">
        <v>27674.243876373777</v>
      </c>
      <c r="W106" s="163">
        <v>28874.689419314167</v>
      </c>
      <c r="X106" s="163">
        <v>28834.104117014009</v>
      </c>
      <c r="Y106" s="163">
        <v>28932</v>
      </c>
    </row>
    <row r="107" spans="1:25" ht="15" x14ac:dyDescent="0.2">
      <c r="A107" s="149" t="s">
        <v>21</v>
      </c>
      <c r="B107" s="142">
        <v>2980</v>
      </c>
      <c r="C107" s="141" t="s">
        <v>67</v>
      </c>
      <c r="D107" s="141" t="s">
        <v>777</v>
      </c>
      <c r="E107" s="143">
        <v>37673</v>
      </c>
      <c r="F107" s="143">
        <v>38552</v>
      </c>
      <c r="G107" s="143">
        <v>38777</v>
      </c>
      <c r="H107" s="143">
        <v>38922</v>
      </c>
      <c r="I107" s="143">
        <v>39141</v>
      </c>
      <c r="J107" s="143">
        <v>39298</v>
      </c>
      <c r="K107" s="143">
        <v>39395</v>
      </c>
      <c r="L107" s="143">
        <v>40093</v>
      </c>
      <c r="M107" s="143">
        <v>40866</v>
      </c>
      <c r="N107" s="143">
        <v>40661</v>
      </c>
      <c r="O107" s="143">
        <v>39910</v>
      </c>
      <c r="P107" s="143">
        <v>41979.278199360029</v>
      </c>
      <c r="Q107" s="144">
        <v>42428.824710571978</v>
      </c>
      <c r="R107" s="144">
        <v>42691</v>
      </c>
      <c r="S107" s="144">
        <v>42824</v>
      </c>
      <c r="T107" s="144">
        <v>43537</v>
      </c>
      <c r="U107" s="144">
        <v>43614</v>
      </c>
      <c r="V107" s="144">
        <v>45394.834645176896</v>
      </c>
      <c r="W107" s="163">
        <v>45753.856337309175</v>
      </c>
      <c r="X107" s="163">
        <v>46161.441301793791</v>
      </c>
      <c r="Y107" s="163">
        <v>45791</v>
      </c>
    </row>
    <row r="108" spans="1:25" ht="15" x14ac:dyDescent="0.2">
      <c r="A108" s="149" t="s">
        <v>21</v>
      </c>
      <c r="B108" s="142">
        <v>2981</v>
      </c>
      <c r="C108" s="141" t="s">
        <v>805</v>
      </c>
      <c r="D108" s="141" t="s">
        <v>777</v>
      </c>
      <c r="E108" s="143">
        <v>147540</v>
      </c>
      <c r="F108" s="143">
        <v>145283</v>
      </c>
      <c r="G108" s="143">
        <v>145799</v>
      </c>
      <c r="H108" s="143">
        <v>146000</v>
      </c>
      <c r="I108" s="143">
        <v>146832</v>
      </c>
      <c r="J108" s="143">
        <v>147172</v>
      </c>
      <c r="K108" s="143">
        <v>151768</v>
      </c>
      <c r="L108" s="143">
        <v>116663</v>
      </c>
      <c r="M108" s="143">
        <v>116529</v>
      </c>
      <c r="N108" s="143">
        <v>118802</v>
      </c>
      <c r="O108" s="143">
        <v>122709</v>
      </c>
      <c r="P108" s="143">
        <v>132080.87339496994</v>
      </c>
      <c r="Q108" s="144">
        <v>133058.0332730595</v>
      </c>
      <c r="R108" s="144">
        <v>133637.35649165933</v>
      </c>
      <c r="S108" s="144">
        <v>138865</v>
      </c>
      <c r="T108" s="144">
        <v>141828</v>
      </c>
      <c r="U108" s="144">
        <v>144139</v>
      </c>
      <c r="V108" s="144">
        <v>146669.49184813324</v>
      </c>
      <c r="W108" s="163">
        <v>145889.40093200037</v>
      </c>
      <c r="X108" s="163">
        <v>147007.28169820789</v>
      </c>
      <c r="Y108" s="163">
        <v>144112</v>
      </c>
    </row>
    <row r="109" spans="1:25" ht="15" x14ac:dyDescent="0.2">
      <c r="A109" s="149" t="s">
        <v>21</v>
      </c>
      <c r="B109" s="142">
        <v>7692</v>
      </c>
      <c r="C109" s="141" t="s">
        <v>165</v>
      </c>
      <c r="D109" s="141" t="s">
        <v>777</v>
      </c>
      <c r="E109" s="143">
        <v>5299</v>
      </c>
      <c r="F109" s="143">
        <v>5299</v>
      </c>
      <c r="G109" s="143">
        <v>5299</v>
      </c>
      <c r="H109" s="143">
        <v>5299</v>
      </c>
      <c r="I109" s="143">
        <v>5299</v>
      </c>
      <c r="J109" s="143">
        <v>5172</v>
      </c>
      <c r="K109" s="143">
        <v>5172</v>
      </c>
      <c r="L109" s="143">
        <v>7398</v>
      </c>
      <c r="M109" s="143">
        <v>7398</v>
      </c>
      <c r="N109" s="143">
        <v>4259</v>
      </c>
      <c r="O109" s="143">
        <v>6013</v>
      </c>
      <c r="P109" s="143">
        <v>4131.56139002082</v>
      </c>
      <c r="Q109" s="144">
        <v>5264.6964947424394</v>
      </c>
      <c r="R109" s="144">
        <v>5171</v>
      </c>
      <c r="S109" s="144">
        <v>5408</v>
      </c>
      <c r="T109" s="144">
        <v>5463</v>
      </c>
      <c r="U109" s="144">
        <v>5463.1302109818171</v>
      </c>
      <c r="V109" s="144">
        <v>5693.2638173209707</v>
      </c>
      <c r="W109" s="163">
        <v>5977.3426554829448</v>
      </c>
      <c r="X109" s="163">
        <v>5978.8337806714289</v>
      </c>
      <c r="Y109" s="163">
        <v>5985</v>
      </c>
    </row>
    <row r="110" spans="1:25" ht="15" x14ac:dyDescent="0.2">
      <c r="A110" s="149" t="s">
        <v>21</v>
      </c>
      <c r="B110" s="142">
        <v>10350</v>
      </c>
      <c r="C110" s="141" t="s">
        <v>792</v>
      </c>
      <c r="D110" s="141" t="s">
        <v>777</v>
      </c>
      <c r="E110" s="143">
        <v>1260</v>
      </c>
      <c r="F110" s="143">
        <v>1018</v>
      </c>
      <c r="G110" s="143">
        <v>1285</v>
      </c>
      <c r="H110" s="143">
        <v>1285</v>
      </c>
      <c r="I110" s="143">
        <v>1285</v>
      </c>
      <c r="J110" s="143">
        <v>1285</v>
      </c>
      <c r="K110" s="143">
        <v>1799</v>
      </c>
      <c r="L110" s="143">
        <v>1439</v>
      </c>
      <c r="M110" s="143">
        <v>2085</v>
      </c>
      <c r="N110" s="143">
        <v>2081</v>
      </c>
      <c r="O110" s="143">
        <v>826</v>
      </c>
      <c r="P110" s="143">
        <v>845.77512396832003</v>
      </c>
      <c r="Q110" s="144">
        <v>845.77512396832003</v>
      </c>
      <c r="R110" s="144">
        <v>826</v>
      </c>
      <c r="S110" s="144">
        <v>1372</v>
      </c>
      <c r="T110" s="144">
        <v>0</v>
      </c>
      <c r="U110" s="144">
        <v>1372</v>
      </c>
      <c r="V110" s="144" t="s">
        <v>794</v>
      </c>
      <c r="W110" s="163" t="s">
        <v>794</v>
      </c>
      <c r="X110" s="163" t="s">
        <v>794</v>
      </c>
      <c r="Y110" s="163" t="s">
        <v>794</v>
      </c>
    </row>
    <row r="111" spans="1:25" ht="15" x14ac:dyDescent="0.2">
      <c r="A111" s="149" t="s">
        <v>21</v>
      </c>
      <c r="B111" s="142">
        <v>10795</v>
      </c>
      <c r="C111" s="141" t="s">
        <v>30</v>
      </c>
      <c r="D111" s="141" t="s">
        <v>777</v>
      </c>
      <c r="E111" s="143">
        <v>12784</v>
      </c>
      <c r="F111" s="143">
        <v>12527</v>
      </c>
      <c r="G111" s="143">
        <v>13834</v>
      </c>
      <c r="H111" s="143">
        <v>14435</v>
      </c>
      <c r="I111" s="143">
        <v>14435</v>
      </c>
      <c r="J111" s="143">
        <v>14435</v>
      </c>
      <c r="K111" s="143">
        <v>14435</v>
      </c>
      <c r="L111" s="143">
        <v>12860</v>
      </c>
      <c r="M111" s="143">
        <v>15316</v>
      </c>
      <c r="N111" s="143">
        <v>15325</v>
      </c>
      <c r="O111" s="143">
        <v>14392.746208573048</v>
      </c>
      <c r="P111" s="143">
        <v>14450.982595960551</v>
      </c>
      <c r="Q111" s="144">
        <v>14477.848617683376</v>
      </c>
      <c r="R111" s="144">
        <v>14552</v>
      </c>
      <c r="S111" s="144">
        <v>12029</v>
      </c>
      <c r="T111" s="144">
        <v>14528</v>
      </c>
      <c r="U111" s="144">
        <v>14525</v>
      </c>
      <c r="V111" s="144">
        <v>14633.719566978774</v>
      </c>
      <c r="W111" s="163">
        <v>14817.031703877787</v>
      </c>
      <c r="X111" s="163">
        <v>15225.095750973367</v>
      </c>
      <c r="Y111" s="163">
        <v>14897</v>
      </c>
    </row>
    <row r="112" spans="1:25" ht="15" x14ac:dyDescent="0.2">
      <c r="A112" s="149" t="s">
        <v>21</v>
      </c>
      <c r="B112" s="142">
        <v>11218</v>
      </c>
      <c r="C112" s="141" t="s">
        <v>31</v>
      </c>
      <c r="D112" s="141" t="s">
        <v>777</v>
      </c>
      <c r="E112" s="143">
        <v>13510</v>
      </c>
      <c r="F112" s="143">
        <v>13768</v>
      </c>
      <c r="G112" s="143">
        <v>15365</v>
      </c>
      <c r="H112" s="143">
        <v>16570</v>
      </c>
      <c r="I112" s="143">
        <v>18482</v>
      </c>
      <c r="J112" s="143">
        <v>18782</v>
      </c>
      <c r="K112" s="143">
        <v>18882</v>
      </c>
      <c r="L112" s="143">
        <v>18882</v>
      </c>
      <c r="M112" s="143">
        <v>14733</v>
      </c>
      <c r="N112" s="143">
        <v>14687</v>
      </c>
      <c r="O112" s="143">
        <v>15369</v>
      </c>
      <c r="P112" s="143">
        <v>15453.533658654862</v>
      </c>
      <c r="Q112" s="144">
        <v>16482.650255223209</v>
      </c>
      <c r="R112" s="144">
        <v>16569</v>
      </c>
      <c r="S112" s="144">
        <v>20519</v>
      </c>
      <c r="T112" s="144">
        <v>17117</v>
      </c>
      <c r="U112" s="144">
        <v>17152.889598419497</v>
      </c>
      <c r="V112" s="144">
        <v>17373.606221441591</v>
      </c>
      <c r="W112" s="163">
        <v>17397.413889867541</v>
      </c>
      <c r="X112" s="163">
        <v>17437.549373272745</v>
      </c>
      <c r="Y112" s="163">
        <v>17529</v>
      </c>
    </row>
    <row r="113" spans="1:25" ht="15" x14ac:dyDescent="0.2">
      <c r="A113" s="149" t="s">
        <v>21</v>
      </c>
      <c r="B113" s="142">
        <v>11245</v>
      </c>
      <c r="C113" s="141" t="s">
        <v>82</v>
      </c>
      <c r="D113" s="141" t="s">
        <v>777</v>
      </c>
      <c r="E113" s="143">
        <v>16209</v>
      </c>
      <c r="F113" s="143">
        <v>15817</v>
      </c>
      <c r="G113" s="143">
        <v>16958</v>
      </c>
      <c r="H113" s="143">
        <v>17750</v>
      </c>
      <c r="I113" s="143">
        <v>17750</v>
      </c>
      <c r="J113" s="143">
        <v>17750</v>
      </c>
      <c r="K113" s="143">
        <v>17750</v>
      </c>
      <c r="L113" s="143">
        <v>15151</v>
      </c>
      <c r="M113" s="143">
        <v>15151</v>
      </c>
      <c r="N113" s="143">
        <v>15151</v>
      </c>
      <c r="O113" s="143">
        <v>16509.209295278779</v>
      </c>
      <c r="P113" s="143">
        <v>17321.207154476582</v>
      </c>
      <c r="Q113" s="144">
        <v>16306.601480239859</v>
      </c>
      <c r="R113" s="144">
        <v>16736</v>
      </c>
      <c r="S113" s="144">
        <v>15183</v>
      </c>
      <c r="T113" s="144">
        <v>15183</v>
      </c>
      <c r="U113" s="144">
        <v>15454</v>
      </c>
      <c r="V113" s="144">
        <v>15182.79820269321</v>
      </c>
      <c r="W113" s="163">
        <v>15183</v>
      </c>
      <c r="X113" s="163">
        <v>15125.72413328784</v>
      </c>
      <c r="Y113" s="163">
        <v>15778</v>
      </c>
    </row>
    <row r="114" spans="1:25" ht="15" x14ac:dyDescent="0.2">
      <c r="A114" s="149" t="s">
        <v>21</v>
      </c>
      <c r="B114" s="142">
        <v>12351</v>
      </c>
      <c r="C114" s="141" t="s">
        <v>32</v>
      </c>
      <c r="D114" s="141" t="s">
        <v>777</v>
      </c>
      <c r="E114" s="143" t="s">
        <v>840</v>
      </c>
      <c r="F114" s="143" t="s">
        <v>840</v>
      </c>
      <c r="G114" s="143">
        <v>79925</v>
      </c>
      <c r="H114" s="143">
        <v>79925</v>
      </c>
      <c r="I114" s="143">
        <v>79925</v>
      </c>
      <c r="J114" s="143">
        <v>74433</v>
      </c>
      <c r="K114" s="143">
        <v>75573</v>
      </c>
      <c r="L114" s="143">
        <v>75573</v>
      </c>
      <c r="M114" s="143">
        <v>69512</v>
      </c>
      <c r="N114" s="143">
        <v>69598</v>
      </c>
      <c r="O114" s="143">
        <v>74767</v>
      </c>
      <c r="P114" s="143">
        <v>76835</v>
      </c>
      <c r="Q114" s="144">
        <v>83545.662645986042</v>
      </c>
      <c r="R114" s="144">
        <v>85346</v>
      </c>
      <c r="S114" s="144">
        <v>75157</v>
      </c>
      <c r="T114" s="144">
        <v>85249</v>
      </c>
      <c r="U114" s="144">
        <v>89900.12774828315</v>
      </c>
      <c r="V114" s="144">
        <v>91547.336079944114</v>
      </c>
      <c r="W114" s="163">
        <v>69665.490389290208</v>
      </c>
      <c r="X114" s="163">
        <v>64740.231190650593</v>
      </c>
      <c r="Y114" s="163">
        <v>66254</v>
      </c>
    </row>
    <row r="115" spans="1:25" ht="15" x14ac:dyDescent="0.2">
      <c r="A115" s="149" t="s">
        <v>21</v>
      </c>
      <c r="B115" s="142">
        <v>20142</v>
      </c>
      <c r="C115" s="141" t="s">
        <v>806</v>
      </c>
      <c r="D115" s="141" t="s">
        <v>777</v>
      </c>
      <c r="E115" s="143" t="s">
        <v>840</v>
      </c>
      <c r="F115" s="143">
        <v>377026.39520000003</v>
      </c>
      <c r="G115" s="143">
        <v>420344</v>
      </c>
      <c r="H115" s="143">
        <v>422867</v>
      </c>
      <c r="I115" s="143">
        <v>425390</v>
      </c>
      <c r="J115" s="143">
        <v>438435</v>
      </c>
      <c r="K115" s="143">
        <v>423718</v>
      </c>
      <c r="L115" s="143">
        <v>423718</v>
      </c>
      <c r="M115" s="143">
        <v>437745</v>
      </c>
      <c r="N115" s="143">
        <v>453743</v>
      </c>
      <c r="O115" s="143">
        <v>466139</v>
      </c>
      <c r="P115" s="143">
        <v>482649.65662676236</v>
      </c>
      <c r="Q115" s="144">
        <v>487218.92472637619</v>
      </c>
      <c r="R115" s="144">
        <v>493276</v>
      </c>
      <c r="S115" s="144">
        <v>445505</v>
      </c>
      <c r="T115" s="144">
        <v>501192</v>
      </c>
      <c r="U115" s="144">
        <v>502994.74017808674</v>
      </c>
      <c r="V115" s="144">
        <v>506353.08542293124</v>
      </c>
      <c r="W115" s="163">
        <v>506299.80355446611</v>
      </c>
      <c r="X115" s="163">
        <v>509136.986381786</v>
      </c>
      <c r="Y115" s="163">
        <v>516659</v>
      </c>
    </row>
    <row r="116" spans="1:25" ht="15" x14ac:dyDescent="0.2">
      <c r="A116" s="149" t="s">
        <v>21</v>
      </c>
      <c r="B116" s="142">
        <v>20143</v>
      </c>
      <c r="C116" s="141" t="s">
        <v>9</v>
      </c>
      <c r="D116" s="141" t="s">
        <v>777</v>
      </c>
      <c r="E116" s="143" t="s">
        <v>840</v>
      </c>
      <c r="F116" s="143">
        <v>287548</v>
      </c>
      <c r="G116" s="143">
        <v>311123</v>
      </c>
      <c r="H116" s="143">
        <v>312739</v>
      </c>
      <c r="I116" s="143">
        <v>292951</v>
      </c>
      <c r="J116" s="143">
        <v>294444</v>
      </c>
      <c r="K116" s="143">
        <v>294444</v>
      </c>
      <c r="L116" s="143">
        <v>294444</v>
      </c>
      <c r="M116" s="143">
        <v>325035</v>
      </c>
      <c r="N116" s="143">
        <v>325778</v>
      </c>
      <c r="O116" s="143">
        <v>271837.79451585695</v>
      </c>
      <c r="P116" s="143">
        <v>341466</v>
      </c>
      <c r="Q116" s="144">
        <v>342112.44647000812</v>
      </c>
      <c r="R116" s="144">
        <v>342314</v>
      </c>
      <c r="S116" s="144">
        <v>341497</v>
      </c>
      <c r="T116" s="144">
        <v>344829</v>
      </c>
      <c r="U116" s="144">
        <v>347730</v>
      </c>
      <c r="V116" s="144">
        <v>347049.68169628747</v>
      </c>
      <c r="W116" s="163">
        <v>351801.11827336467</v>
      </c>
      <c r="X116" s="163">
        <v>353552.81116674421</v>
      </c>
      <c r="Y116" s="163">
        <v>350725</v>
      </c>
    </row>
    <row r="117" spans="1:25" ht="15" x14ac:dyDescent="0.2">
      <c r="A117" s="141" t="s">
        <v>22</v>
      </c>
      <c r="B117" s="142">
        <v>341</v>
      </c>
      <c r="C117" s="141" t="s">
        <v>55</v>
      </c>
      <c r="D117" s="141" t="s">
        <v>768</v>
      </c>
      <c r="E117" s="143">
        <v>16911</v>
      </c>
      <c r="F117" s="143">
        <v>15896</v>
      </c>
      <c r="G117" s="143">
        <v>18944</v>
      </c>
      <c r="H117" s="143">
        <v>19500</v>
      </c>
      <c r="I117" s="143">
        <v>20047</v>
      </c>
      <c r="J117" s="143">
        <v>20864</v>
      </c>
      <c r="K117" s="143">
        <v>21763</v>
      </c>
      <c r="L117" s="143">
        <v>21176</v>
      </c>
      <c r="M117" s="143">
        <v>21179</v>
      </c>
      <c r="N117" s="143">
        <v>21181</v>
      </c>
      <c r="O117" s="143">
        <v>21395</v>
      </c>
      <c r="P117" s="143">
        <v>23129.469119556903</v>
      </c>
      <c r="Q117" s="144">
        <v>23318.788285668903</v>
      </c>
      <c r="R117" s="144">
        <v>23862</v>
      </c>
      <c r="S117" s="144">
        <v>24524</v>
      </c>
      <c r="T117" s="144">
        <v>25058</v>
      </c>
      <c r="U117" s="144">
        <v>25438.955470284003</v>
      </c>
      <c r="V117" s="144">
        <v>25741.543053295078</v>
      </c>
      <c r="W117" s="163">
        <v>25751.341582540717</v>
      </c>
      <c r="X117" s="163">
        <v>26298.377818174009</v>
      </c>
      <c r="Y117" s="163">
        <v>26951</v>
      </c>
    </row>
    <row r="118" spans="1:25" ht="15" x14ac:dyDescent="0.2">
      <c r="A118" s="141" t="s">
        <v>22</v>
      </c>
      <c r="B118" s="142">
        <v>645</v>
      </c>
      <c r="C118" s="141" t="s">
        <v>70</v>
      </c>
      <c r="D118" s="141" t="s">
        <v>768</v>
      </c>
      <c r="E118" s="143">
        <v>7476</v>
      </c>
      <c r="F118" s="143">
        <v>7476</v>
      </c>
      <c r="G118" s="143">
        <v>5455</v>
      </c>
      <c r="H118" s="143">
        <v>5455</v>
      </c>
      <c r="I118" s="143">
        <v>6942</v>
      </c>
      <c r="J118" s="143">
        <v>6942</v>
      </c>
      <c r="K118" s="143">
        <v>6942</v>
      </c>
      <c r="L118" s="143">
        <v>5402</v>
      </c>
      <c r="M118" s="143">
        <v>5356</v>
      </c>
      <c r="N118" s="143">
        <v>5296</v>
      </c>
      <c r="O118" s="143">
        <v>5301</v>
      </c>
      <c r="P118" s="143">
        <v>5655</v>
      </c>
      <c r="Q118" s="144">
        <v>5856.1872616733535</v>
      </c>
      <c r="R118" s="144">
        <v>6011</v>
      </c>
      <c r="S118" s="144">
        <v>5553</v>
      </c>
      <c r="T118" s="144">
        <v>5586</v>
      </c>
      <c r="U118" s="144">
        <v>5594.0108333179296</v>
      </c>
      <c r="V118" s="144">
        <v>5660.2448047040325</v>
      </c>
      <c r="W118" s="163">
        <v>5720</v>
      </c>
      <c r="X118" s="163">
        <v>5330.5488121238686</v>
      </c>
      <c r="Y118" s="163">
        <v>5893</v>
      </c>
    </row>
    <row r="119" spans="1:25" ht="15" x14ac:dyDescent="0.2">
      <c r="A119" s="141" t="s">
        <v>22</v>
      </c>
      <c r="B119" s="142">
        <v>1616</v>
      </c>
      <c r="C119" s="141" t="s">
        <v>807</v>
      </c>
      <c r="D119" s="141" t="s">
        <v>768</v>
      </c>
      <c r="E119" s="143">
        <v>1000</v>
      </c>
      <c r="F119" s="143">
        <v>1026</v>
      </c>
      <c r="G119" s="143">
        <v>1026</v>
      </c>
      <c r="H119" s="143">
        <v>1026</v>
      </c>
      <c r="I119" s="143">
        <v>1026</v>
      </c>
      <c r="J119" s="143">
        <v>1214</v>
      </c>
      <c r="K119" s="143">
        <v>1214</v>
      </c>
      <c r="L119" s="143">
        <v>1214</v>
      </c>
      <c r="M119" s="143">
        <v>1214</v>
      </c>
      <c r="N119" s="143">
        <v>711</v>
      </c>
      <c r="O119" s="143">
        <v>1005.6759045207405</v>
      </c>
      <c r="P119" s="143">
        <v>1009.0501916754999</v>
      </c>
      <c r="Q119" s="144">
        <v>1004.038352975125</v>
      </c>
      <c r="R119" s="144">
        <v>1004</v>
      </c>
      <c r="S119" s="144">
        <v>1005</v>
      </c>
      <c r="T119" s="144" t="s">
        <v>794</v>
      </c>
      <c r="U119" s="144">
        <v>1005</v>
      </c>
      <c r="V119" s="144" t="s">
        <v>794</v>
      </c>
      <c r="W119" s="163" t="s">
        <v>794</v>
      </c>
      <c r="X119" s="163" t="s">
        <v>794</v>
      </c>
      <c r="Y119" s="163" t="s">
        <v>794</v>
      </c>
    </row>
    <row r="120" spans="1:25" ht="15" x14ac:dyDescent="0.2">
      <c r="A120" s="141" t="s">
        <v>22</v>
      </c>
      <c r="B120" s="142">
        <v>1625</v>
      </c>
      <c r="C120" s="141" t="s">
        <v>808</v>
      </c>
      <c r="D120" s="141" t="s">
        <v>768</v>
      </c>
      <c r="E120" s="143">
        <v>813</v>
      </c>
      <c r="F120" s="143">
        <v>1881</v>
      </c>
      <c r="G120" s="143">
        <v>1881</v>
      </c>
      <c r="H120" s="143">
        <v>1840</v>
      </c>
      <c r="I120" s="143">
        <v>1840</v>
      </c>
      <c r="J120" s="143">
        <v>1840</v>
      </c>
      <c r="K120" s="143">
        <v>1840</v>
      </c>
      <c r="L120" s="143">
        <v>1494</v>
      </c>
      <c r="M120" s="143">
        <v>1627</v>
      </c>
      <c r="N120" s="143">
        <v>1499</v>
      </c>
      <c r="O120" s="143">
        <v>1494</v>
      </c>
      <c r="P120" s="143">
        <v>1491.6061074530537</v>
      </c>
      <c r="Q120" s="144">
        <v>1447.8741512625775</v>
      </c>
      <c r="R120" s="144">
        <v>1448</v>
      </c>
      <c r="S120" s="144">
        <v>1448</v>
      </c>
      <c r="T120" s="144">
        <v>1448</v>
      </c>
      <c r="U120" s="144">
        <v>1447.8741512625775</v>
      </c>
      <c r="V120" s="144">
        <v>1447.8741512625775</v>
      </c>
      <c r="W120" s="163">
        <v>1447.8741512625775</v>
      </c>
      <c r="X120" s="163">
        <v>1447.8741274030713</v>
      </c>
      <c r="Y120" s="163">
        <v>1448</v>
      </c>
    </row>
    <row r="121" spans="1:25" ht="15" x14ac:dyDescent="0.2">
      <c r="A121" s="141" t="s">
        <v>22</v>
      </c>
      <c r="B121" s="142">
        <v>2332</v>
      </c>
      <c r="C121" s="141" t="s">
        <v>168</v>
      </c>
      <c r="D121" s="141" t="s">
        <v>768</v>
      </c>
      <c r="E121" s="143">
        <v>1825</v>
      </c>
      <c r="F121" s="143">
        <v>2400</v>
      </c>
      <c r="G121" s="143">
        <v>2408</v>
      </c>
      <c r="H121" s="143">
        <v>2408</v>
      </c>
      <c r="I121" s="143">
        <v>2408</v>
      </c>
      <c r="J121" s="143">
        <v>2408</v>
      </c>
      <c r="K121" s="143">
        <v>1500</v>
      </c>
      <c r="L121" s="143">
        <v>1750</v>
      </c>
      <c r="M121" s="143">
        <v>2200</v>
      </c>
      <c r="N121" s="143">
        <v>1929</v>
      </c>
      <c r="O121" s="143">
        <v>1712.1879572089254</v>
      </c>
      <c r="P121" s="143">
        <v>1769.9271293849754</v>
      </c>
      <c r="Q121" s="144">
        <v>1744.0612773554087</v>
      </c>
      <c r="R121" s="144">
        <v>1777</v>
      </c>
      <c r="S121" s="144">
        <v>1784</v>
      </c>
      <c r="T121" s="144">
        <v>1806</v>
      </c>
      <c r="U121" s="144">
        <v>1887</v>
      </c>
      <c r="V121" s="144">
        <v>1761.1456394371407</v>
      </c>
      <c r="W121" s="163">
        <v>1996.6734017221593</v>
      </c>
      <c r="X121" s="163">
        <v>1892.6499178643321</v>
      </c>
      <c r="Y121" s="163">
        <v>1968</v>
      </c>
    </row>
    <row r="122" spans="1:25" ht="15" x14ac:dyDescent="0.2">
      <c r="A122" s="141" t="s">
        <v>22</v>
      </c>
      <c r="B122" s="142">
        <v>3415</v>
      </c>
      <c r="C122" s="141" t="s">
        <v>809</v>
      </c>
      <c r="D122" s="141" t="s">
        <v>768</v>
      </c>
      <c r="E122" s="143">
        <v>710</v>
      </c>
      <c r="F122" s="143">
        <v>710</v>
      </c>
      <c r="G122" s="143">
        <v>700</v>
      </c>
      <c r="H122" s="143">
        <v>700</v>
      </c>
      <c r="I122" s="143">
        <v>700</v>
      </c>
      <c r="J122" s="143">
        <v>700</v>
      </c>
      <c r="K122" s="143">
        <v>700</v>
      </c>
      <c r="L122" s="143">
        <v>700</v>
      </c>
      <c r="M122" s="143">
        <v>1041</v>
      </c>
      <c r="N122" s="143">
        <v>1134</v>
      </c>
      <c r="O122" s="143">
        <v>910.0243635479801</v>
      </c>
      <c r="P122" s="143">
        <v>912.08203133889197</v>
      </c>
      <c r="Q122" s="144">
        <v>912.08203133889197</v>
      </c>
      <c r="R122" s="144">
        <v>914</v>
      </c>
      <c r="S122" s="144">
        <v>929</v>
      </c>
      <c r="T122" s="144">
        <v>929</v>
      </c>
      <c r="U122" s="144">
        <v>928.63183568764384</v>
      </c>
      <c r="V122" s="144">
        <v>1005.0116964591563</v>
      </c>
      <c r="W122" s="163">
        <v>1005.0116704151069</v>
      </c>
      <c r="X122" s="163" t="s">
        <v>794</v>
      </c>
      <c r="Y122" s="163" t="s">
        <v>794</v>
      </c>
    </row>
    <row r="123" spans="1:25" ht="15" x14ac:dyDescent="0.2">
      <c r="A123" s="141" t="s">
        <v>22</v>
      </c>
      <c r="B123" s="142">
        <v>4005</v>
      </c>
      <c r="C123" s="141" t="s">
        <v>810</v>
      </c>
      <c r="D123" s="141" t="s">
        <v>768</v>
      </c>
      <c r="E123" s="143">
        <v>1927</v>
      </c>
      <c r="F123" s="143">
        <v>1927</v>
      </c>
      <c r="G123" s="143">
        <v>2446</v>
      </c>
      <c r="H123" s="143">
        <v>2446</v>
      </c>
      <c r="I123" s="143">
        <v>2012</v>
      </c>
      <c r="J123" s="143">
        <v>1932</v>
      </c>
      <c r="K123" s="143">
        <v>2061</v>
      </c>
      <c r="L123" s="143">
        <v>2229</v>
      </c>
      <c r="M123" s="143">
        <v>2454</v>
      </c>
      <c r="N123" s="143">
        <v>2454</v>
      </c>
      <c r="O123" s="143">
        <v>2544</v>
      </c>
      <c r="P123" s="143">
        <v>2585.8232969125006</v>
      </c>
      <c r="Q123" s="144">
        <v>2585.8232969125006</v>
      </c>
      <c r="R123" s="144">
        <v>2586</v>
      </c>
      <c r="S123" s="144">
        <v>2586</v>
      </c>
      <c r="T123" s="144">
        <v>2584</v>
      </c>
      <c r="U123" s="144">
        <v>2584</v>
      </c>
      <c r="V123" s="144">
        <v>2587.3005110125005</v>
      </c>
      <c r="W123" s="163">
        <v>2597.5176426846874</v>
      </c>
      <c r="X123" s="163">
        <v>2605.2006502248651</v>
      </c>
      <c r="Y123" s="163">
        <v>2705</v>
      </c>
    </row>
    <row r="124" spans="1:25" ht="15" x14ac:dyDescent="0.2">
      <c r="A124" s="141" t="s">
        <v>22</v>
      </c>
      <c r="B124" s="142">
        <v>4607</v>
      </c>
      <c r="C124" s="141" t="s">
        <v>94</v>
      </c>
      <c r="D124" s="141" t="s">
        <v>768</v>
      </c>
      <c r="E124" s="143">
        <v>43513</v>
      </c>
      <c r="F124" s="143">
        <v>41508</v>
      </c>
      <c r="G124" s="143">
        <v>42598</v>
      </c>
      <c r="H124" s="143">
        <v>42598</v>
      </c>
      <c r="I124" s="143">
        <v>65766</v>
      </c>
      <c r="J124" s="143">
        <v>69954</v>
      </c>
      <c r="K124" s="143">
        <v>71262</v>
      </c>
      <c r="L124" s="143">
        <v>71789</v>
      </c>
      <c r="M124" s="143">
        <v>73926</v>
      </c>
      <c r="N124" s="143">
        <v>71886</v>
      </c>
      <c r="O124" s="143">
        <v>67066</v>
      </c>
      <c r="P124" s="143">
        <v>67453.058402662136</v>
      </c>
      <c r="Q124" s="144">
        <v>78530.37199403574</v>
      </c>
      <c r="R124" s="144">
        <v>77472</v>
      </c>
      <c r="S124" s="144">
        <v>79514</v>
      </c>
      <c r="T124" s="144">
        <v>81135</v>
      </c>
      <c r="U124" s="144">
        <v>83594.299298388956</v>
      </c>
      <c r="V124" s="144">
        <v>82464.929654546155</v>
      </c>
      <c r="W124" s="163">
        <v>84440.214802437491</v>
      </c>
      <c r="X124" s="163">
        <v>86816.524424603675</v>
      </c>
      <c r="Y124" s="163">
        <v>82004</v>
      </c>
    </row>
    <row r="125" spans="1:25" ht="15" x14ac:dyDescent="0.2">
      <c r="A125" s="141" t="s">
        <v>22</v>
      </c>
      <c r="B125" s="142">
        <v>4658</v>
      </c>
      <c r="C125" s="141" t="s">
        <v>74</v>
      </c>
      <c r="D125" s="141" t="s">
        <v>768</v>
      </c>
      <c r="E125" s="143">
        <v>19250</v>
      </c>
      <c r="F125" s="143">
        <v>19493</v>
      </c>
      <c r="G125" s="143">
        <v>17868</v>
      </c>
      <c r="H125" s="143">
        <v>18500</v>
      </c>
      <c r="I125" s="143">
        <v>20140</v>
      </c>
      <c r="J125" s="143">
        <v>20453</v>
      </c>
      <c r="K125" s="143">
        <v>21837</v>
      </c>
      <c r="L125" s="143">
        <v>20892</v>
      </c>
      <c r="M125" s="143">
        <v>20892</v>
      </c>
      <c r="N125" s="143">
        <v>20120</v>
      </c>
      <c r="O125" s="143">
        <v>20909</v>
      </c>
      <c r="P125" s="143">
        <v>20569.716740154003</v>
      </c>
      <c r="Q125" s="144">
        <v>20750.170759182685</v>
      </c>
      <c r="R125" s="144">
        <v>20808</v>
      </c>
      <c r="S125" s="144">
        <v>21396</v>
      </c>
      <c r="T125" s="144">
        <v>21632</v>
      </c>
      <c r="U125" s="144">
        <v>22303</v>
      </c>
      <c r="V125" s="144">
        <v>22263.29461686522</v>
      </c>
      <c r="W125" s="163">
        <v>22413.966521197868</v>
      </c>
      <c r="X125" s="163">
        <v>22590.628065004876</v>
      </c>
      <c r="Y125" s="163">
        <v>25316</v>
      </c>
    </row>
    <row r="126" spans="1:25" ht="15" x14ac:dyDescent="0.2">
      <c r="A126" s="141" t="s">
        <v>22</v>
      </c>
      <c r="B126" s="142">
        <v>4912</v>
      </c>
      <c r="C126" s="141" t="s">
        <v>811</v>
      </c>
      <c r="D126" s="141" t="s">
        <v>768</v>
      </c>
      <c r="E126" s="143">
        <v>155567</v>
      </c>
      <c r="F126" s="143">
        <v>155143</v>
      </c>
      <c r="G126" s="143">
        <v>163034</v>
      </c>
      <c r="H126" s="143">
        <v>164146</v>
      </c>
      <c r="I126" s="143">
        <v>166345</v>
      </c>
      <c r="J126" s="143">
        <v>170020</v>
      </c>
      <c r="K126" s="143">
        <v>180080</v>
      </c>
      <c r="L126" s="143">
        <v>164393</v>
      </c>
      <c r="M126" s="143">
        <v>163872</v>
      </c>
      <c r="N126" s="143">
        <v>163213</v>
      </c>
      <c r="O126" s="143">
        <v>167777</v>
      </c>
      <c r="P126" s="143">
        <v>170539.76179057814</v>
      </c>
      <c r="Q126" s="144">
        <v>171790</v>
      </c>
      <c r="R126" s="144">
        <v>169451</v>
      </c>
      <c r="S126" s="144">
        <v>172144</v>
      </c>
      <c r="T126" s="144">
        <v>173842</v>
      </c>
      <c r="U126" s="144">
        <v>178114.48463810573</v>
      </c>
      <c r="V126" s="144">
        <v>180792</v>
      </c>
      <c r="W126" s="163">
        <v>183547</v>
      </c>
      <c r="X126" s="163">
        <v>184612.36583338919</v>
      </c>
      <c r="Y126" s="163">
        <v>185394</v>
      </c>
    </row>
    <row r="127" spans="1:25" ht="15" x14ac:dyDescent="0.2">
      <c r="A127" s="141" t="s">
        <v>22</v>
      </c>
      <c r="B127" s="142">
        <v>5251</v>
      </c>
      <c r="C127" s="141" t="s">
        <v>812</v>
      </c>
      <c r="D127" s="141" t="s">
        <v>768</v>
      </c>
      <c r="E127" s="143">
        <v>3536</v>
      </c>
      <c r="F127" s="143">
        <v>2355</v>
      </c>
      <c r="G127" s="143">
        <v>2740</v>
      </c>
      <c r="H127" s="143">
        <v>2740</v>
      </c>
      <c r="I127" s="143">
        <v>3140</v>
      </c>
      <c r="J127" s="143">
        <v>4280</v>
      </c>
      <c r="K127" s="143">
        <v>6945</v>
      </c>
      <c r="L127" s="143">
        <v>2855</v>
      </c>
      <c r="M127" s="143">
        <v>2951</v>
      </c>
      <c r="N127" s="143">
        <v>2171</v>
      </c>
      <c r="O127" s="143">
        <v>1872.0659491323238</v>
      </c>
      <c r="P127" s="143">
        <v>2713.8078123179253</v>
      </c>
      <c r="Q127" s="144">
        <v>3198.1631685889502</v>
      </c>
      <c r="R127" s="144">
        <v>2721</v>
      </c>
      <c r="S127" s="144">
        <v>3001</v>
      </c>
      <c r="T127" s="144">
        <v>2715</v>
      </c>
      <c r="U127" s="144">
        <v>2716.1880501179253</v>
      </c>
      <c r="V127" s="144">
        <v>2713.7677233179252</v>
      </c>
      <c r="W127" s="163">
        <v>2712.249532583508</v>
      </c>
      <c r="X127" s="163">
        <v>2713.7530674493141</v>
      </c>
      <c r="Y127" s="163">
        <v>2712</v>
      </c>
    </row>
    <row r="128" spans="1:25" ht="15" x14ac:dyDescent="0.2">
      <c r="A128" s="141" t="s">
        <v>22</v>
      </c>
      <c r="B128" s="142">
        <v>5750</v>
      </c>
      <c r="C128" s="141" t="s">
        <v>66</v>
      </c>
      <c r="D128" s="141" t="s">
        <v>768</v>
      </c>
      <c r="E128" s="143">
        <v>4067</v>
      </c>
      <c r="F128" s="143">
        <v>4118</v>
      </c>
      <c r="G128" s="143">
        <v>4118.2442000000001</v>
      </c>
      <c r="H128" s="143">
        <v>4118</v>
      </c>
      <c r="I128" s="143">
        <v>3978</v>
      </c>
      <c r="J128" s="143">
        <v>4062</v>
      </c>
      <c r="K128" s="143">
        <v>4846</v>
      </c>
      <c r="L128" s="143">
        <v>5057</v>
      </c>
      <c r="M128" s="143">
        <v>5043</v>
      </c>
      <c r="N128" s="143">
        <v>5106</v>
      </c>
      <c r="O128" s="143">
        <v>4929</v>
      </c>
      <c r="P128" s="143">
        <v>5006.2655661997951</v>
      </c>
      <c r="Q128" s="144">
        <v>5513.0124634415233</v>
      </c>
      <c r="R128" s="144">
        <v>6042</v>
      </c>
      <c r="S128" s="144">
        <v>6248</v>
      </c>
      <c r="T128" s="144">
        <v>7081</v>
      </c>
      <c r="U128" s="144">
        <v>8561.8507052203495</v>
      </c>
      <c r="V128" s="144">
        <v>9193</v>
      </c>
      <c r="W128" s="163">
        <v>10276</v>
      </c>
      <c r="X128" s="163">
        <v>11393</v>
      </c>
      <c r="Y128" s="163">
        <v>13239</v>
      </c>
    </row>
    <row r="129" spans="1:25" ht="15" x14ac:dyDescent="0.2">
      <c r="A129" s="141" t="s">
        <v>22</v>
      </c>
      <c r="B129" s="142">
        <v>5868</v>
      </c>
      <c r="C129" s="141" t="s">
        <v>880</v>
      </c>
      <c r="D129" s="141" t="s">
        <v>768</v>
      </c>
      <c r="E129" s="143">
        <v>0</v>
      </c>
      <c r="F129" s="143">
        <v>0</v>
      </c>
      <c r="G129" s="143">
        <v>0</v>
      </c>
      <c r="H129" s="143">
        <v>0</v>
      </c>
      <c r="I129" s="143">
        <v>0</v>
      </c>
      <c r="J129" s="143">
        <v>0</v>
      </c>
      <c r="K129" s="143">
        <v>0</v>
      </c>
      <c r="L129" s="143">
        <v>0</v>
      </c>
      <c r="M129" s="143">
        <v>0</v>
      </c>
      <c r="N129" s="143">
        <v>0</v>
      </c>
      <c r="O129" s="143">
        <v>0</v>
      </c>
      <c r="P129" s="143">
        <v>0</v>
      </c>
      <c r="Q129" s="143">
        <v>0</v>
      </c>
      <c r="R129" s="143">
        <v>0</v>
      </c>
      <c r="S129" s="143">
        <v>0</v>
      </c>
      <c r="T129" s="143">
        <v>0</v>
      </c>
      <c r="U129" s="144">
        <v>991</v>
      </c>
      <c r="V129" s="144">
        <v>1042</v>
      </c>
      <c r="W129" s="163">
        <v>989</v>
      </c>
      <c r="X129" s="163">
        <v>989.45025879842365</v>
      </c>
      <c r="Y129" s="163">
        <v>989</v>
      </c>
    </row>
    <row r="130" spans="1:25" ht="15" x14ac:dyDescent="0.2">
      <c r="A130" s="141" t="s">
        <v>22</v>
      </c>
      <c r="B130" s="142">
        <v>5870</v>
      </c>
      <c r="C130" s="141" t="s">
        <v>71</v>
      </c>
      <c r="D130" s="141" t="s">
        <v>768</v>
      </c>
      <c r="E130" s="143">
        <v>3684</v>
      </c>
      <c r="F130" s="143">
        <v>4100</v>
      </c>
      <c r="G130" s="143">
        <v>4100</v>
      </c>
      <c r="H130" s="143">
        <v>4100</v>
      </c>
      <c r="I130" s="143">
        <v>4100</v>
      </c>
      <c r="J130" s="143">
        <v>3836</v>
      </c>
      <c r="K130" s="143">
        <v>3918</v>
      </c>
      <c r="L130" s="143">
        <v>3078</v>
      </c>
      <c r="M130" s="143">
        <v>3192</v>
      </c>
      <c r="N130" s="143">
        <v>3189</v>
      </c>
      <c r="O130" s="143">
        <v>2983</v>
      </c>
      <c r="P130" s="143">
        <v>3299.5366981491497</v>
      </c>
      <c r="Q130" s="144">
        <v>3282.8609291578259</v>
      </c>
      <c r="R130" s="144">
        <v>3297</v>
      </c>
      <c r="S130" s="144">
        <v>3285</v>
      </c>
      <c r="T130" s="144">
        <v>3285</v>
      </c>
      <c r="U130" s="144">
        <v>3209</v>
      </c>
      <c r="V130" s="144">
        <v>3219.7723489803602</v>
      </c>
      <c r="W130" s="163">
        <v>3615.7919974724769</v>
      </c>
      <c r="X130" s="163">
        <v>3687.8827425064724</v>
      </c>
      <c r="Y130" s="163">
        <v>3954</v>
      </c>
    </row>
    <row r="131" spans="1:25" ht="15" x14ac:dyDescent="0.2">
      <c r="A131" s="141" t="s">
        <v>22</v>
      </c>
      <c r="B131" s="142">
        <v>5893</v>
      </c>
      <c r="C131" s="141" t="s">
        <v>813</v>
      </c>
      <c r="D131" s="141" t="s">
        <v>768</v>
      </c>
      <c r="E131" s="143">
        <v>4194</v>
      </c>
      <c r="F131" s="143">
        <v>3289</v>
      </c>
      <c r="G131" s="143">
        <v>3289</v>
      </c>
      <c r="H131" s="143">
        <v>3289</v>
      </c>
      <c r="I131" s="143">
        <v>3728</v>
      </c>
      <c r="J131" s="143">
        <v>3728</v>
      </c>
      <c r="K131" s="143">
        <v>4117</v>
      </c>
      <c r="L131" s="143">
        <v>3758</v>
      </c>
      <c r="M131" s="143">
        <v>3758</v>
      </c>
      <c r="N131" s="143">
        <v>4661</v>
      </c>
      <c r="O131" s="143">
        <v>5048</v>
      </c>
      <c r="P131" s="143">
        <v>4441</v>
      </c>
      <c r="Q131" s="144">
        <v>5626.1296694288021</v>
      </c>
      <c r="R131" s="144">
        <v>5463</v>
      </c>
      <c r="S131" s="144">
        <v>3890</v>
      </c>
      <c r="T131" s="144">
        <v>5169</v>
      </c>
      <c r="U131" s="144">
        <v>5936.6670119323953</v>
      </c>
      <c r="V131" s="144">
        <v>6028.7424404323956</v>
      </c>
      <c r="W131" s="163">
        <v>6029</v>
      </c>
      <c r="X131" s="163">
        <v>6313.4441185997066</v>
      </c>
      <c r="Y131" s="163">
        <v>7483</v>
      </c>
    </row>
    <row r="132" spans="1:25" ht="15" x14ac:dyDescent="0.2">
      <c r="A132" s="141" t="s">
        <v>22</v>
      </c>
      <c r="B132" s="142">
        <v>6124</v>
      </c>
      <c r="C132" s="141" t="s">
        <v>76</v>
      </c>
      <c r="D132" s="141" t="s">
        <v>768</v>
      </c>
      <c r="E132" s="143">
        <v>3409</v>
      </c>
      <c r="F132" s="143">
        <v>3325</v>
      </c>
      <c r="G132" s="143">
        <v>4878</v>
      </c>
      <c r="H132" s="143">
        <v>4878</v>
      </c>
      <c r="I132" s="143">
        <v>4878</v>
      </c>
      <c r="J132" s="143">
        <v>5379</v>
      </c>
      <c r="K132" s="143">
        <v>5379</v>
      </c>
      <c r="L132" s="143">
        <v>5379</v>
      </c>
      <c r="M132" s="143">
        <v>4134</v>
      </c>
      <c r="N132" s="143">
        <v>4331</v>
      </c>
      <c r="O132" s="143">
        <v>4826</v>
      </c>
      <c r="P132" s="143">
        <v>5525.8259286623788</v>
      </c>
      <c r="Q132" s="144">
        <v>5186.7555232407849</v>
      </c>
      <c r="R132" s="144">
        <v>4826</v>
      </c>
      <c r="S132" s="144">
        <v>4905</v>
      </c>
      <c r="T132" s="144">
        <v>4609</v>
      </c>
      <c r="U132" s="144">
        <v>4906.3035103482698</v>
      </c>
      <c r="V132" s="144">
        <v>4630.6854832348836</v>
      </c>
      <c r="W132" s="163">
        <v>4769.1740471891808</v>
      </c>
      <c r="X132" s="163">
        <v>4802.7394200884555</v>
      </c>
      <c r="Y132" s="163">
        <v>4855</v>
      </c>
    </row>
    <row r="133" spans="1:25" ht="15" x14ac:dyDescent="0.2">
      <c r="A133" s="141" t="s">
        <v>22</v>
      </c>
      <c r="B133" s="142">
        <v>6174</v>
      </c>
      <c r="C133" s="141" t="s">
        <v>814</v>
      </c>
      <c r="D133" s="141" t="s">
        <v>768</v>
      </c>
      <c r="E133" s="143" t="s">
        <v>840</v>
      </c>
      <c r="F133" s="143">
        <v>1784</v>
      </c>
      <c r="G133" s="143">
        <v>1808</v>
      </c>
      <c r="H133" s="143">
        <v>1600</v>
      </c>
      <c r="I133" s="143">
        <v>1361</v>
      </c>
      <c r="J133" s="143">
        <v>1064</v>
      </c>
      <c r="K133" s="143">
        <v>1423</v>
      </c>
      <c r="L133" s="143">
        <v>706</v>
      </c>
      <c r="M133" s="143">
        <v>706</v>
      </c>
      <c r="N133" s="143">
        <v>1396</v>
      </c>
      <c r="O133" s="143">
        <v>619</v>
      </c>
      <c r="P133" s="143">
        <v>1331.75533194225</v>
      </c>
      <c r="Q133" s="144">
        <v>1331.75533194225</v>
      </c>
      <c r="R133" s="144">
        <v>1332</v>
      </c>
      <c r="S133" s="144">
        <v>1350</v>
      </c>
      <c r="T133" s="144">
        <v>1332</v>
      </c>
      <c r="U133" s="144">
        <v>1331.75533194225</v>
      </c>
      <c r="V133" s="144">
        <v>1331.75533194225</v>
      </c>
      <c r="W133" s="163">
        <v>1331.75533194225</v>
      </c>
      <c r="X133" s="163">
        <v>1331.755322295262</v>
      </c>
      <c r="Y133" s="163">
        <v>1332</v>
      </c>
    </row>
    <row r="134" spans="1:25" ht="15" x14ac:dyDescent="0.2">
      <c r="A134" s="141" t="s">
        <v>22</v>
      </c>
      <c r="B134" s="142">
        <v>6505</v>
      </c>
      <c r="C134" s="141" t="s">
        <v>815</v>
      </c>
      <c r="D134" s="141" t="s">
        <v>768</v>
      </c>
      <c r="E134" s="143">
        <v>22902</v>
      </c>
      <c r="F134" s="143">
        <v>20373</v>
      </c>
      <c r="G134" s="143">
        <v>21788</v>
      </c>
      <c r="H134" s="143">
        <v>22203</v>
      </c>
      <c r="I134" s="143">
        <v>23100</v>
      </c>
      <c r="J134" s="143">
        <v>25216</v>
      </c>
      <c r="K134" s="143">
        <v>27502</v>
      </c>
      <c r="L134" s="143">
        <v>29373</v>
      </c>
      <c r="M134" s="143">
        <v>29373</v>
      </c>
      <c r="N134" s="143">
        <v>29785</v>
      </c>
      <c r="O134" s="143">
        <v>30534</v>
      </c>
      <c r="P134" s="143">
        <v>30759.740681846684</v>
      </c>
      <c r="Q134" s="144">
        <v>31198.093993057475</v>
      </c>
      <c r="R134" s="144">
        <v>31489</v>
      </c>
      <c r="S134" s="144">
        <v>32360</v>
      </c>
      <c r="T134" s="144">
        <v>31844</v>
      </c>
      <c r="U134" s="144">
        <v>32092.381141285241</v>
      </c>
      <c r="V134" s="144">
        <v>32286.929172094697</v>
      </c>
      <c r="W134" s="163">
        <v>32709.991124413889</v>
      </c>
      <c r="X134" s="163">
        <v>33339.524883004829</v>
      </c>
      <c r="Y134" s="163">
        <v>34205</v>
      </c>
    </row>
    <row r="135" spans="1:25" ht="15" x14ac:dyDescent="0.2">
      <c r="A135" s="141" t="s">
        <v>22</v>
      </c>
      <c r="B135" s="142">
        <v>6506</v>
      </c>
      <c r="C135" s="141" t="s">
        <v>815</v>
      </c>
      <c r="D135" s="141" t="s">
        <v>768</v>
      </c>
      <c r="E135" s="143">
        <v>22895</v>
      </c>
      <c r="F135" s="143">
        <v>24127</v>
      </c>
      <c r="G135" s="143">
        <v>25519</v>
      </c>
      <c r="H135" s="143">
        <v>27847</v>
      </c>
      <c r="I135" s="143">
        <v>29447</v>
      </c>
      <c r="J135" s="143">
        <v>32114</v>
      </c>
      <c r="K135" s="143">
        <v>33994</v>
      </c>
      <c r="L135" s="143">
        <v>34072</v>
      </c>
      <c r="M135" s="143">
        <v>34072</v>
      </c>
      <c r="N135" s="143">
        <v>37008</v>
      </c>
      <c r="O135" s="143">
        <v>39230</v>
      </c>
      <c r="P135" s="143">
        <v>39142</v>
      </c>
      <c r="Q135" s="144">
        <v>39722.55361702721</v>
      </c>
      <c r="R135" s="144">
        <v>40181</v>
      </c>
      <c r="S135" s="144">
        <v>40639</v>
      </c>
      <c r="T135" s="144">
        <v>41297</v>
      </c>
      <c r="U135" s="144">
        <v>42009.587375491552</v>
      </c>
      <c r="V135" s="144">
        <v>44462.757504128123</v>
      </c>
      <c r="W135" s="163">
        <v>43965.080941065993</v>
      </c>
      <c r="X135" s="163">
        <v>45112.765863446984</v>
      </c>
      <c r="Y135" s="163">
        <v>45859</v>
      </c>
    </row>
    <row r="136" spans="1:25" ht="15" x14ac:dyDescent="0.2">
      <c r="A136" s="141" t="s">
        <v>22</v>
      </c>
      <c r="B136" s="142">
        <v>6507</v>
      </c>
      <c r="C136" s="141" t="s">
        <v>815</v>
      </c>
      <c r="D136" s="141" t="s">
        <v>768</v>
      </c>
      <c r="E136" s="143" t="s">
        <v>840</v>
      </c>
      <c r="F136" s="143" t="s">
        <v>840</v>
      </c>
      <c r="G136" s="143" t="s">
        <v>840</v>
      </c>
      <c r="H136" s="143" t="s">
        <v>840</v>
      </c>
      <c r="I136" s="143" t="s">
        <v>840</v>
      </c>
      <c r="J136" s="143" t="s">
        <v>840</v>
      </c>
      <c r="K136" s="143" t="s">
        <v>840</v>
      </c>
      <c r="L136" s="143" t="s">
        <v>840</v>
      </c>
      <c r="M136" s="143" t="s">
        <v>840</v>
      </c>
      <c r="N136" s="143" t="s">
        <v>840</v>
      </c>
      <c r="O136" s="143">
        <v>13779</v>
      </c>
      <c r="P136" s="143">
        <v>13746.063138274205</v>
      </c>
      <c r="Q136" s="144">
        <v>13806.557915037964</v>
      </c>
      <c r="R136" s="144">
        <v>13884</v>
      </c>
      <c r="S136" s="144">
        <v>13977</v>
      </c>
      <c r="T136" s="144">
        <v>13983</v>
      </c>
      <c r="U136" s="144">
        <v>14230.022016778596</v>
      </c>
      <c r="V136" s="144">
        <v>14418.483095060417</v>
      </c>
      <c r="W136" s="163">
        <v>14660.447905779198</v>
      </c>
      <c r="X136" s="163">
        <v>14660.457989295097</v>
      </c>
      <c r="Y136" s="163">
        <v>15108</v>
      </c>
    </row>
    <row r="137" spans="1:25" ht="15" x14ac:dyDescent="0.2">
      <c r="A137" s="141" t="s">
        <v>22</v>
      </c>
      <c r="B137" s="142">
        <v>6508</v>
      </c>
      <c r="C137" s="141" t="s">
        <v>815</v>
      </c>
      <c r="D137" s="141" t="s">
        <v>768</v>
      </c>
      <c r="E137" s="143">
        <v>4445</v>
      </c>
      <c r="F137" s="143">
        <v>4567</v>
      </c>
      <c r="G137" s="143">
        <v>5294</v>
      </c>
      <c r="H137" s="143">
        <v>5294</v>
      </c>
      <c r="I137" s="143">
        <v>5900</v>
      </c>
      <c r="J137" s="143">
        <v>5972</v>
      </c>
      <c r="K137" s="143">
        <v>5972</v>
      </c>
      <c r="L137" s="143">
        <v>4270</v>
      </c>
      <c r="M137" s="143">
        <v>4270</v>
      </c>
      <c r="N137" s="143">
        <v>4172</v>
      </c>
      <c r="O137" s="143">
        <v>4674</v>
      </c>
      <c r="P137" s="143">
        <v>4159</v>
      </c>
      <c r="Q137" s="144">
        <v>4946.2441495858138</v>
      </c>
      <c r="R137" s="144">
        <v>4960</v>
      </c>
      <c r="S137" s="144">
        <v>4998</v>
      </c>
      <c r="T137" s="144">
        <v>4998</v>
      </c>
      <c r="U137" s="144">
        <v>5312.3395525966935</v>
      </c>
      <c r="V137" s="144">
        <v>5344.4335858540699</v>
      </c>
      <c r="W137" s="163">
        <v>5356.5275193162652</v>
      </c>
      <c r="X137" s="163">
        <v>5071.9028888100556</v>
      </c>
      <c r="Y137" s="163">
        <v>5058</v>
      </c>
    </row>
    <row r="138" spans="1:25" ht="15" x14ac:dyDescent="0.2">
      <c r="A138" s="141" t="s">
        <v>22</v>
      </c>
      <c r="B138" s="142">
        <v>6509</v>
      </c>
      <c r="C138" s="141" t="s">
        <v>815</v>
      </c>
      <c r="D138" s="141" t="s">
        <v>768</v>
      </c>
      <c r="E138" s="143" t="s">
        <v>840</v>
      </c>
      <c r="F138" s="143" t="s">
        <v>840</v>
      </c>
      <c r="G138" s="143" t="s">
        <v>840</v>
      </c>
      <c r="H138" s="143" t="s">
        <v>840</v>
      </c>
      <c r="I138" s="143" t="s">
        <v>840</v>
      </c>
      <c r="J138" s="143" t="s">
        <v>840</v>
      </c>
      <c r="K138" s="143" t="s">
        <v>840</v>
      </c>
      <c r="L138" s="143" t="s">
        <v>840</v>
      </c>
      <c r="M138" s="143" t="s">
        <v>840</v>
      </c>
      <c r="N138" s="143" t="s">
        <v>840</v>
      </c>
      <c r="O138" s="143">
        <v>53256</v>
      </c>
      <c r="P138" s="143">
        <v>65482</v>
      </c>
      <c r="Q138" s="144">
        <v>68673.600000000006</v>
      </c>
      <c r="R138" s="144">
        <v>70448</v>
      </c>
      <c r="S138" s="144">
        <v>64501</v>
      </c>
      <c r="T138" s="144">
        <v>71289</v>
      </c>
      <c r="U138" s="144">
        <v>78876</v>
      </c>
      <c r="V138" s="144">
        <v>73266.571946304088</v>
      </c>
      <c r="W138" s="163">
        <v>85100</v>
      </c>
      <c r="X138" s="163">
        <v>90983</v>
      </c>
      <c r="Y138" s="163">
        <v>92298</v>
      </c>
    </row>
    <row r="139" spans="1:25" ht="15" x14ac:dyDescent="0.2">
      <c r="A139" s="141" t="s">
        <v>22</v>
      </c>
      <c r="B139" s="142">
        <v>6624</v>
      </c>
      <c r="C139" s="141" t="s">
        <v>73</v>
      </c>
      <c r="D139" s="141" t="s">
        <v>768</v>
      </c>
      <c r="E139" s="143">
        <v>1393</v>
      </c>
      <c r="F139" s="143">
        <v>1324</v>
      </c>
      <c r="G139" s="143" t="s">
        <v>840</v>
      </c>
      <c r="H139" s="143" t="s">
        <v>840</v>
      </c>
      <c r="I139" s="143" t="s">
        <v>840</v>
      </c>
      <c r="J139" s="143" t="s">
        <v>840</v>
      </c>
      <c r="K139" s="143" t="s">
        <v>840</v>
      </c>
      <c r="L139" s="143" t="s">
        <v>840</v>
      </c>
      <c r="M139" s="143" t="s">
        <v>840</v>
      </c>
      <c r="N139" s="143" t="s">
        <v>840</v>
      </c>
      <c r="O139" s="143">
        <v>6595</v>
      </c>
      <c r="P139" s="143">
        <v>7421.9737819683623</v>
      </c>
      <c r="Q139" s="144">
        <v>7420.9252164264572</v>
      </c>
      <c r="R139" s="144">
        <v>7471</v>
      </c>
      <c r="S139" s="144">
        <v>7791</v>
      </c>
      <c r="T139" s="144">
        <v>8323</v>
      </c>
      <c r="U139" s="144">
        <v>8644.9240938584226</v>
      </c>
      <c r="V139" s="144">
        <v>8214.6697339565617</v>
      </c>
      <c r="W139" s="163">
        <v>8459.5497764248885</v>
      </c>
      <c r="X139" s="163">
        <v>8596.5313070172615</v>
      </c>
      <c r="Y139" s="163">
        <v>8752</v>
      </c>
    </row>
    <row r="140" spans="1:25" ht="15" x14ac:dyDescent="0.2">
      <c r="A140" s="141" t="s">
        <v>22</v>
      </c>
      <c r="B140" s="142">
        <v>6920</v>
      </c>
      <c r="C140" s="141" t="s">
        <v>69</v>
      </c>
      <c r="D140" s="141" t="s">
        <v>768</v>
      </c>
      <c r="E140" s="143">
        <v>2015</v>
      </c>
      <c r="F140" s="143">
        <v>2040</v>
      </c>
      <c r="G140" s="143">
        <v>2507</v>
      </c>
      <c r="H140" s="143">
        <v>2507</v>
      </c>
      <c r="I140" s="143">
        <v>2502</v>
      </c>
      <c r="J140" s="143">
        <v>2372</v>
      </c>
      <c r="K140" s="143">
        <v>2352</v>
      </c>
      <c r="L140" s="143">
        <v>2750</v>
      </c>
      <c r="M140" s="143">
        <v>3429</v>
      </c>
      <c r="N140" s="143">
        <v>3381</v>
      </c>
      <c r="O140" s="143">
        <v>3227</v>
      </c>
      <c r="P140" s="143">
        <v>3520.2094026399495</v>
      </c>
      <c r="Q140" s="144">
        <v>3466.8535609191749</v>
      </c>
      <c r="R140" s="144">
        <v>3487</v>
      </c>
      <c r="S140" s="144">
        <v>3496</v>
      </c>
      <c r="T140" s="144">
        <v>3577</v>
      </c>
      <c r="U140" s="144">
        <v>3662.65592150265</v>
      </c>
      <c r="V140" s="144">
        <v>3836.8999243527751</v>
      </c>
      <c r="W140" s="163">
        <v>4106.1384145919892</v>
      </c>
      <c r="X140" s="163">
        <v>4535.1958340989559</v>
      </c>
      <c r="Y140" s="163">
        <v>5234</v>
      </c>
    </row>
    <row r="141" spans="1:25" ht="15" x14ac:dyDescent="0.2">
      <c r="A141" s="141" t="s">
        <v>22</v>
      </c>
      <c r="B141" s="142">
        <v>7119</v>
      </c>
      <c r="C141" s="141" t="s">
        <v>53</v>
      </c>
      <c r="D141" s="141" t="s">
        <v>768</v>
      </c>
      <c r="E141" s="143">
        <v>20862</v>
      </c>
      <c r="F141" s="143">
        <v>21125</v>
      </c>
      <c r="G141" s="143">
        <v>23184</v>
      </c>
      <c r="H141" s="143">
        <v>25291</v>
      </c>
      <c r="I141" s="143">
        <v>26129</v>
      </c>
      <c r="J141" s="143">
        <v>24901</v>
      </c>
      <c r="K141" s="143">
        <v>24845</v>
      </c>
      <c r="L141" s="143">
        <v>25592</v>
      </c>
      <c r="M141" s="143">
        <v>24554</v>
      </c>
      <c r="N141" s="143">
        <v>25808</v>
      </c>
      <c r="O141" s="143">
        <v>26073</v>
      </c>
      <c r="P141" s="143">
        <v>26046.115800848078</v>
      </c>
      <c r="Q141" s="144">
        <v>26494.552963547882</v>
      </c>
      <c r="R141" s="144">
        <v>26983</v>
      </c>
      <c r="S141" s="144">
        <v>27685</v>
      </c>
      <c r="T141" s="144">
        <v>28834</v>
      </c>
      <c r="U141" s="144">
        <v>29134</v>
      </c>
      <c r="V141" s="144">
        <v>31557</v>
      </c>
      <c r="W141" s="163">
        <v>30457.885718671245</v>
      </c>
      <c r="X141" s="163">
        <v>31922.671760937868</v>
      </c>
      <c r="Y141" s="163">
        <v>33324</v>
      </c>
    </row>
    <row r="142" spans="1:25" ht="15" x14ac:dyDescent="0.2">
      <c r="A142" s="141" t="s">
        <v>22</v>
      </c>
      <c r="B142" s="142">
        <v>7187</v>
      </c>
      <c r="C142" s="141" t="s">
        <v>816</v>
      </c>
      <c r="D142" s="141" t="s">
        <v>768</v>
      </c>
      <c r="E142" s="143">
        <v>2020</v>
      </c>
      <c r="F142" s="143">
        <v>1907</v>
      </c>
      <c r="G142" s="143">
        <v>1935</v>
      </c>
      <c r="H142" s="143">
        <v>1964</v>
      </c>
      <c r="I142" s="143">
        <v>1964</v>
      </c>
      <c r="J142" s="143">
        <v>1964</v>
      </c>
      <c r="K142" s="143">
        <v>1907</v>
      </c>
      <c r="L142" s="143">
        <v>1930</v>
      </c>
      <c r="M142" s="143">
        <v>1930</v>
      </c>
      <c r="N142" s="143">
        <v>1722</v>
      </c>
      <c r="O142" s="143">
        <v>1694.0684504883084</v>
      </c>
      <c r="P142" s="143">
        <v>1692.1059982840959</v>
      </c>
      <c r="Q142" s="144">
        <v>1640.422777331715</v>
      </c>
      <c r="R142" s="144">
        <v>1640</v>
      </c>
      <c r="S142" s="144">
        <v>1640</v>
      </c>
      <c r="T142" s="144">
        <v>1640</v>
      </c>
      <c r="U142" s="144">
        <v>1481.8372073817673</v>
      </c>
      <c r="V142" s="144">
        <v>1481.8372073817673</v>
      </c>
      <c r="W142" s="163">
        <v>1481.8371301358359</v>
      </c>
      <c r="X142" s="163">
        <v>1481.8371612722822</v>
      </c>
      <c r="Y142" s="163">
        <v>1482</v>
      </c>
    </row>
    <row r="143" spans="1:25" ht="15" x14ac:dyDescent="0.2">
      <c r="A143" s="141" t="s">
        <v>22</v>
      </c>
      <c r="B143" s="142">
        <v>7328</v>
      </c>
      <c r="C143" s="141" t="s">
        <v>817</v>
      </c>
      <c r="D143" s="141" t="s">
        <v>768</v>
      </c>
      <c r="E143" s="143" t="s">
        <v>840</v>
      </c>
      <c r="F143" s="143" t="s">
        <v>840</v>
      </c>
      <c r="G143" s="143" t="s">
        <v>840</v>
      </c>
      <c r="H143" s="143" t="s">
        <v>840</v>
      </c>
      <c r="I143" s="143" t="s">
        <v>840</v>
      </c>
      <c r="J143" s="143">
        <v>750</v>
      </c>
      <c r="K143" s="143">
        <v>750</v>
      </c>
      <c r="L143" s="143">
        <v>750</v>
      </c>
      <c r="M143" s="143">
        <v>750</v>
      </c>
      <c r="N143" s="143">
        <v>750</v>
      </c>
      <c r="O143" s="143">
        <v>1058.4127557254105</v>
      </c>
      <c r="P143" s="143">
        <v>1061.4110890964107</v>
      </c>
      <c r="Q143" s="144">
        <v>978.99930338212505</v>
      </c>
      <c r="R143" s="144">
        <v>979</v>
      </c>
      <c r="S143" s="144">
        <v>750</v>
      </c>
      <c r="T143" s="144">
        <v>979</v>
      </c>
      <c r="U143" s="144">
        <v>978.99925528874996</v>
      </c>
      <c r="V143" s="144">
        <v>979</v>
      </c>
      <c r="W143" s="163">
        <v>979</v>
      </c>
      <c r="X143" s="163">
        <v>980.47289394425525</v>
      </c>
      <c r="Y143" s="163">
        <v>980</v>
      </c>
    </row>
    <row r="144" spans="1:25" ht="15" x14ac:dyDescent="0.2">
      <c r="A144" s="141" t="s">
        <v>22</v>
      </c>
      <c r="B144" s="142">
        <v>7878</v>
      </c>
      <c r="C144" s="141" t="s">
        <v>483</v>
      </c>
      <c r="D144" s="141" t="s">
        <v>768</v>
      </c>
      <c r="E144" s="143">
        <v>1966</v>
      </c>
      <c r="F144" s="143">
        <v>1991</v>
      </c>
      <c r="G144" s="143">
        <v>2000</v>
      </c>
      <c r="H144" s="143">
        <v>2022</v>
      </c>
      <c r="I144" s="143">
        <v>2023</v>
      </c>
      <c r="J144" s="143">
        <v>2023</v>
      </c>
      <c r="K144" s="143">
        <v>1897</v>
      </c>
      <c r="L144" s="143">
        <v>1897</v>
      </c>
      <c r="M144" s="143">
        <v>1897</v>
      </c>
      <c r="N144" s="143">
        <v>1607</v>
      </c>
      <c r="O144" s="143">
        <v>2014.9660861569571</v>
      </c>
      <c r="P144" s="143">
        <v>2253.0679116716069</v>
      </c>
      <c r="Q144" s="144">
        <v>2253.0679116716069</v>
      </c>
      <c r="R144" s="144">
        <v>2253</v>
      </c>
      <c r="S144" s="144">
        <v>2253</v>
      </c>
      <c r="T144" s="144">
        <v>2253</v>
      </c>
      <c r="U144" s="144">
        <v>2253.0682324763511</v>
      </c>
      <c r="V144" s="144">
        <v>2253.0682324763511</v>
      </c>
      <c r="W144" s="163">
        <v>2253.0678344536072</v>
      </c>
      <c r="X144" s="163">
        <v>2253.0678275462892</v>
      </c>
      <c r="Y144" s="163">
        <v>2280</v>
      </c>
    </row>
    <row r="145" spans="1:25" ht="15" x14ac:dyDescent="0.2">
      <c r="A145" s="141" t="s">
        <v>22</v>
      </c>
      <c r="B145" s="142">
        <v>8054</v>
      </c>
      <c r="C145" s="141" t="s">
        <v>815</v>
      </c>
      <c r="D145" s="141" t="s">
        <v>768</v>
      </c>
      <c r="E145" s="143">
        <v>5113</v>
      </c>
      <c r="F145" s="143">
        <v>5133</v>
      </c>
      <c r="G145" s="143">
        <v>5327</v>
      </c>
      <c r="H145" s="143">
        <v>5327</v>
      </c>
      <c r="I145" s="143">
        <v>4584</v>
      </c>
      <c r="J145" s="143">
        <v>4584</v>
      </c>
      <c r="K145" s="143">
        <v>6237</v>
      </c>
      <c r="L145" s="143">
        <v>6247</v>
      </c>
      <c r="M145" s="143">
        <v>6247</v>
      </c>
      <c r="N145" s="143">
        <v>5844</v>
      </c>
      <c r="O145" s="143">
        <v>5995</v>
      </c>
      <c r="P145" s="143">
        <v>6363</v>
      </c>
      <c r="Q145" s="144">
        <v>6477.0494882956755</v>
      </c>
      <c r="R145" s="144">
        <v>6495</v>
      </c>
      <c r="S145" s="144">
        <v>6526</v>
      </c>
      <c r="T145" s="144">
        <v>6546</v>
      </c>
      <c r="U145" s="144">
        <v>6558.1143404344357</v>
      </c>
      <c r="V145" s="144">
        <v>6616.6716893851572</v>
      </c>
      <c r="W145" s="163">
        <v>6626.8328203872179</v>
      </c>
      <c r="X145" s="163">
        <v>6650.9234185435644</v>
      </c>
      <c r="Y145" s="163">
        <v>6659</v>
      </c>
    </row>
    <row r="146" spans="1:25" ht="15" x14ac:dyDescent="0.2">
      <c r="A146" s="141" t="s">
        <v>22</v>
      </c>
      <c r="B146" s="142">
        <v>8344</v>
      </c>
      <c r="C146" s="141" t="s">
        <v>818</v>
      </c>
      <c r="D146" s="141" t="s">
        <v>768</v>
      </c>
      <c r="E146" s="143">
        <v>1711</v>
      </c>
      <c r="F146" s="143">
        <v>1557</v>
      </c>
      <c r="G146" s="143">
        <v>1560</v>
      </c>
      <c r="H146" s="143">
        <v>1564</v>
      </c>
      <c r="I146" s="143">
        <v>1564</v>
      </c>
      <c r="J146" s="143">
        <v>1564</v>
      </c>
      <c r="K146" s="143">
        <v>1564</v>
      </c>
      <c r="L146" s="143">
        <v>1219</v>
      </c>
      <c r="M146" s="143">
        <v>1219</v>
      </c>
      <c r="N146" s="143">
        <v>1219</v>
      </c>
      <c r="O146" s="143">
        <v>1419.6620698752324</v>
      </c>
      <c r="P146" s="143">
        <v>1415.9211839533825</v>
      </c>
      <c r="Q146" s="144">
        <v>1396.1918339533825</v>
      </c>
      <c r="R146" s="144">
        <v>1396</v>
      </c>
      <c r="S146" s="144">
        <v>1379</v>
      </c>
      <c r="T146" s="144">
        <v>1379</v>
      </c>
      <c r="U146" s="144">
        <v>1378.5927772228774</v>
      </c>
      <c r="V146" s="144">
        <v>1378.5927772228774</v>
      </c>
      <c r="W146" s="163">
        <v>1378.5927772228774</v>
      </c>
      <c r="X146" s="163">
        <v>1378.5927978372258</v>
      </c>
      <c r="Y146" s="163">
        <v>1379</v>
      </c>
    </row>
    <row r="147" spans="1:25" ht="15" x14ac:dyDescent="0.2">
      <c r="A147" s="141" t="s">
        <v>22</v>
      </c>
      <c r="B147" s="142">
        <v>8468</v>
      </c>
      <c r="C147" s="141" t="s">
        <v>35</v>
      </c>
      <c r="D147" s="141" t="s">
        <v>768</v>
      </c>
      <c r="E147" s="143">
        <v>1999</v>
      </c>
      <c r="F147" s="143">
        <v>1951</v>
      </c>
      <c r="G147" s="143">
        <v>2763</v>
      </c>
      <c r="H147" s="143">
        <v>2763</v>
      </c>
      <c r="I147" s="143">
        <v>2200</v>
      </c>
      <c r="J147" s="143">
        <v>2200</v>
      </c>
      <c r="K147" s="143">
        <v>2348</v>
      </c>
      <c r="L147" s="143">
        <v>4828</v>
      </c>
      <c r="M147" s="143">
        <v>4852</v>
      </c>
      <c r="N147" s="143">
        <v>5943</v>
      </c>
      <c r="O147" s="143">
        <v>5893.6669717524637</v>
      </c>
      <c r="P147" s="143">
        <v>6021.3101394440528</v>
      </c>
      <c r="Q147" s="144">
        <v>5957.8961409845124</v>
      </c>
      <c r="R147" s="144">
        <v>5867</v>
      </c>
      <c r="S147" s="144">
        <v>6353</v>
      </c>
      <c r="T147" s="144">
        <v>6550</v>
      </c>
      <c r="U147" s="144">
        <v>6738.3706049731609</v>
      </c>
      <c r="V147" s="144">
        <v>7176.3181826652308</v>
      </c>
      <c r="W147" s="163">
        <v>7449.635172486599</v>
      </c>
      <c r="X147" s="163">
        <v>7615.7194602017571</v>
      </c>
      <c r="Y147" s="163">
        <v>7758</v>
      </c>
    </row>
    <row r="148" spans="1:25" ht="15" x14ac:dyDescent="0.2">
      <c r="A148" s="141" t="s">
        <v>22</v>
      </c>
      <c r="B148" s="142">
        <v>8522</v>
      </c>
      <c r="C148" s="141" t="s">
        <v>72</v>
      </c>
      <c r="D148" s="141" t="s">
        <v>768</v>
      </c>
      <c r="E148" s="143">
        <v>15103</v>
      </c>
      <c r="F148" s="143">
        <v>15454</v>
      </c>
      <c r="G148" s="143">
        <v>19520</v>
      </c>
      <c r="H148" s="143">
        <v>19520</v>
      </c>
      <c r="I148" s="143">
        <v>22650</v>
      </c>
      <c r="J148" s="143">
        <v>26939</v>
      </c>
      <c r="K148" s="143">
        <v>24978</v>
      </c>
      <c r="L148" s="143">
        <v>24978</v>
      </c>
      <c r="M148" s="143">
        <v>22031</v>
      </c>
      <c r="N148" s="143">
        <v>27233</v>
      </c>
      <c r="O148" s="143">
        <v>30223</v>
      </c>
      <c r="P148" s="143">
        <v>30099.508840621114</v>
      </c>
      <c r="Q148" s="144">
        <v>30545.418982542629</v>
      </c>
      <c r="R148" s="144">
        <v>31147</v>
      </c>
      <c r="S148" s="144">
        <v>31557</v>
      </c>
      <c r="T148" s="144">
        <v>32506</v>
      </c>
      <c r="U148" s="144">
        <v>33447.245948814067</v>
      </c>
      <c r="V148" s="144">
        <v>36520.872906206678</v>
      </c>
      <c r="W148" s="163">
        <v>37416.93775505136</v>
      </c>
      <c r="X148" s="163">
        <v>39694.383514246118</v>
      </c>
      <c r="Y148" s="163">
        <v>44258</v>
      </c>
    </row>
    <row r="149" spans="1:25" ht="15" x14ac:dyDescent="0.2">
      <c r="A149" s="141" t="s">
        <v>22</v>
      </c>
      <c r="B149" s="142">
        <v>8753</v>
      </c>
      <c r="C149" s="141" t="s">
        <v>819</v>
      </c>
      <c r="D149" s="141" t="s">
        <v>768</v>
      </c>
      <c r="E149" s="143">
        <v>903</v>
      </c>
      <c r="F149" s="143">
        <v>847</v>
      </c>
      <c r="G149" s="143">
        <v>879</v>
      </c>
      <c r="H149" s="143">
        <v>911</v>
      </c>
      <c r="I149" s="143">
        <v>911</v>
      </c>
      <c r="J149" s="143">
        <v>911</v>
      </c>
      <c r="K149" s="143">
        <v>911</v>
      </c>
      <c r="L149" s="143">
        <v>703</v>
      </c>
      <c r="M149" s="143">
        <v>828</v>
      </c>
      <c r="N149" s="143">
        <v>703</v>
      </c>
      <c r="O149" s="143">
        <v>718.53514534566295</v>
      </c>
      <c r="P149" s="143">
        <v>716.74273742372361</v>
      </c>
      <c r="Q149" s="144">
        <v>705.85567313800937</v>
      </c>
      <c r="R149" s="144">
        <v>701</v>
      </c>
      <c r="S149" s="144">
        <v>700</v>
      </c>
      <c r="T149" s="144" t="s">
        <v>794</v>
      </c>
      <c r="U149" s="144">
        <v>700</v>
      </c>
      <c r="V149" s="144">
        <v>748</v>
      </c>
      <c r="W149" s="163" t="s">
        <v>794</v>
      </c>
      <c r="X149" s="163" t="s">
        <v>794</v>
      </c>
      <c r="Y149" s="163" t="s">
        <v>794</v>
      </c>
    </row>
    <row r="150" spans="1:25" ht="15" x14ac:dyDescent="0.2">
      <c r="A150" s="141" t="s">
        <v>22</v>
      </c>
      <c r="B150" s="142">
        <v>8967</v>
      </c>
      <c r="C150" s="141" t="s">
        <v>820</v>
      </c>
      <c r="D150" s="141" t="s">
        <v>768</v>
      </c>
      <c r="E150" s="143">
        <v>692</v>
      </c>
      <c r="F150" s="143">
        <v>692</v>
      </c>
      <c r="G150" s="143">
        <v>1028</v>
      </c>
      <c r="H150" s="143">
        <v>1028</v>
      </c>
      <c r="I150" s="143">
        <v>1028</v>
      </c>
      <c r="J150" s="143">
        <v>696</v>
      </c>
      <c r="K150" s="143">
        <v>764</v>
      </c>
      <c r="L150" s="143">
        <v>764</v>
      </c>
      <c r="M150" s="143">
        <v>760</v>
      </c>
      <c r="N150" s="143">
        <v>799</v>
      </c>
      <c r="O150" s="143">
        <v>720</v>
      </c>
      <c r="P150" s="143">
        <v>719.09793180202121</v>
      </c>
      <c r="Q150" s="144">
        <v>696.802155611545</v>
      </c>
      <c r="R150" s="144">
        <v>697</v>
      </c>
      <c r="S150" s="144">
        <v>611</v>
      </c>
      <c r="T150" s="144">
        <v>698</v>
      </c>
      <c r="U150" s="144">
        <v>698.48122876167997</v>
      </c>
      <c r="V150" s="144">
        <v>698.48122876167997</v>
      </c>
      <c r="W150" s="163">
        <v>698.48119695036803</v>
      </c>
      <c r="X150" s="163">
        <v>698.48121311988928</v>
      </c>
      <c r="Y150" s="163">
        <v>698</v>
      </c>
    </row>
    <row r="151" spans="1:25" ht="15" x14ac:dyDescent="0.2">
      <c r="A151" s="141" t="s">
        <v>22</v>
      </c>
      <c r="B151" s="142">
        <v>10141</v>
      </c>
      <c r="C151" s="141" t="s">
        <v>821</v>
      </c>
      <c r="D151" s="141" t="s">
        <v>768</v>
      </c>
      <c r="E151" s="143">
        <v>0</v>
      </c>
      <c r="F151" s="143">
        <v>0</v>
      </c>
      <c r="G151" s="143">
        <v>0</v>
      </c>
      <c r="H151" s="143">
        <v>0</v>
      </c>
      <c r="I151" s="143">
        <v>0</v>
      </c>
      <c r="J151" s="143">
        <v>0</v>
      </c>
      <c r="K151" s="143">
        <v>0</v>
      </c>
      <c r="L151" s="143">
        <v>0</v>
      </c>
      <c r="M151" s="143">
        <v>0</v>
      </c>
      <c r="N151" s="143">
        <v>0</v>
      </c>
      <c r="O151" s="143" t="s">
        <v>794</v>
      </c>
      <c r="P151" s="143" t="s">
        <v>794</v>
      </c>
      <c r="Q151" s="144"/>
      <c r="R151" s="148" t="s">
        <v>794</v>
      </c>
      <c r="S151" s="144" t="s">
        <v>794</v>
      </c>
      <c r="T151" s="144">
        <v>0</v>
      </c>
      <c r="U151" s="144" t="s">
        <v>794</v>
      </c>
      <c r="V151" s="144">
        <v>0</v>
      </c>
      <c r="W151" s="163" t="s">
        <v>794</v>
      </c>
      <c r="X151" s="163">
        <v>653.02570778759548</v>
      </c>
      <c r="Y151" s="163">
        <v>379</v>
      </c>
    </row>
    <row r="152" spans="1:25" ht="15" x14ac:dyDescent="0.2">
      <c r="A152" s="141" t="s">
        <v>22</v>
      </c>
      <c r="B152" s="142">
        <v>12800</v>
      </c>
      <c r="C152" s="141" t="s">
        <v>822</v>
      </c>
      <c r="D152" s="141" t="s">
        <v>768</v>
      </c>
      <c r="E152" s="143">
        <v>0</v>
      </c>
      <c r="F152" s="143">
        <v>0</v>
      </c>
      <c r="G152" s="143">
        <v>0</v>
      </c>
      <c r="H152" s="143">
        <v>0</v>
      </c>
      <c r="I152" s="143">
        <v>0</v>
      </c>
      <c r="J152" s="143">
        <v>0</v>
      </c>
      <c r="K152" s="143">
        <v>0</v>
      </c>
      <c r="L152" s="143">
        <v>0</v>
      </c>
      <c r="M152" s="143">
        <v>0</v>
      </c>
      <c r="N152" s="143">
        <v>0</v>
      </c>
      <c r="O152" s="143" t="s">
        <v>794</v>
      </c>
      <c r="P152" s="143" t="s">
        <v>794</v>
      </c>
      <c r="Q152" s="144" t="s">
        <v>794</v>
      </c>
      <c r="R152" s="144" t="s">
        <v>794</v>
      </c>
      <c r="S152" s="144" t="s">
        <v>794</v>
      </c>
      <c r="T152" s="144">
        <v>0</v>
      </c>
      <c r="U152" s="144">
        <v>344.59060833622976</v>
      </c>
      <c r="V152" s="144">
        <v>488.90633319499273</v>
      </c>
      <c r="W152" s="163">
        <v>1039.6622627580266</v>
      </c>
      <c r="X152" s="163">
        <v>1151.5805845447783</v>
      </c>
      <c r="Y152" s="163">
        <v>2235</v>
      </c>
    </row>
    <row r="153" spans="1:25" ht="15" x14ac:dyDescent="0.2">
      <c r="A153" s="141" t="s">
        <v>22</v>
      </c>
      <c r="B153" s="142">
        <v>12964</v>
      </c>
      <c r="C153" s="141" t="s">
        <v>823</v>
      </c>
      <c r="D153" s="141" t="s">
        <v>768</v>
      </c>
      <c r="E153" s="143">
        <v>0</v>
      </c>
      <c r="F153" s="143">
        <v>0</v>
      </c>
      <c r="G153" s="143">
        <v>0</v>
      </c>
      <c r="H153" s="143">
        <v>0</v>
      </c>
      <c r="I153" s="143">
        <v>0</v>
      </c>
      <c r="J153" s="143">
        <v>0</v>
      </c>
      <c r="K153" s="143">
        <v>0</v>
      </c>
      <c r="L153" s="143">
        <v>0</v>
      </c>
      <c r="M153" s="143">
        <v>0</v>
      </c>
      <c r="N153" s="143">
        <v>0</v>
      </c>
      <c r="O153" s="143" t="s">
        <v>794</v>
      </c>
      <c r="P153" s="143" t="s">
        <v>794</v>
      </c>
      <c r="Q153" s="144"/>
      <c r="R153" s="144">
        <v>0</v>
      </c>
      <c r="S153" s="144" t="s">
        <v>794</v>
      </c>
      <c r="T153" s="144" t="s">
        <v>794</v>
      </c>
      <c r="U153" s="144" t="s">
        <v>794</v>
      </c>
      <c r="V153" s="144" t="s">
        <v>794</v>
      </c>
      <c r="W153" s="163" t="s">
        <v>794</v>
      </c>
      <c r="X153" s="163" t="s">
        <v>794</v>
      </c>
      <c r="Y153" s="163" t="s">
        <v>794</v>
      </c>
    </row>
    <row r="154" spans="1:25" ht="15" x14ac:dyDescent="0.2">
      <c r="A154" s="141" t="s">
        <v>22</v>
      </c>
      <c r="B154" s="142">
        <v>13043</v>
      </c>
      <c r="C154" s="141" t="s">
        <v>824</v>
      </c>
      <c r="D154" s="141" t="s">
        <v>768</v>
      </c>
      <c r="E154" s="143">
        <v>1510</v>
      </c>
      <c r="F154" s="143">
        <v>2352</v>
      </c>
      <c r="G154" s="143">
        <v>2970</v>
      </c>
      <c r="H154" s="143">
        <v>2970</v>
      </c>
      <c r="I154" s="143">
        <v>2987</v>
      </c>
      <c r="J154" s="143">
        <v>3557</v>
      </c>
      <c r="K154" s="143">
        <v>3631</v>
      </c>
      <c r="L154" s="143">
        <v>3528</v>
      </c>
      <c r="M154" s="143">
        <v>3633</v>
      </c>
      <c r="N154" s="143">
        <v>3610</v>
      </c>
      <c r="O154" s="143">
        <v>3129.2768296278837</v>
      </c>
      <c r="P154" s="143">
        <v>2712.950590679894</v>
      </c>
      <c r="Q154" s="144">
        <v>2727.9392679764678</v>
      </c>
      <c r="R154" s="144">
        <v>2754</v>
      </c>
      <c r="S154" s="144">
        <v>2809</v>
      </c>
      <c r="T154" s="144">
        <v>2848</v>
      </c>
      <c r="U154" s="144">
        <v>2926.5391212623495</v>
      </c>
      <c r="V154" s="144">
        <v>3000</v>
      </c>
      <c r="W154" s="163">
        <v>2990.2411206665124</v>
      </c>
      <c r="X154" s="163">
        <v>3005.2298036632042</v>
      </c>
      <c r="Y154" s="163">
        <v>3005</v>
      </c>
    </row>
    <row r="155" spans="1:25" ht="15" x14ac:dyDescent="0.2">
      <c r="A155" s="141" t="s">
        <v>33</v>
      </c>
      <c r="B155" s="142">
        <v>2923</v>
      </c>
      <c r="C155" s="141" t="s">
        <v>77</v>
      </c>
      <c r="D155" s="141" t="s">
        <v>754</v>
      </c>
      <c r="E155" s="143">
        <v>26562</v>
      </c>
      <c r="F155" s="143">
        <v>18863</v>
      </c>
      <c r="G155" s="143">
        <v>31225</v>
      </c>
      <c r="H155" s="143">
        <v>35721</v>
      </c>
      <c r="I155" s="143">
        <v>36588</v>
      </c>
      <c r="J155" s="143">
        <v>40342</v>
      </c>
      <c r="K155" s="143">
        <v>43363</v>
      </c>
      <c r="L155" s="143">
        <v>39095</v>
      </c>
      <c r="M155" s="143">
        <v>39691</v>
      </c>
      <c r="N155" s="143">
        <v>41867</v>
      </c>
      <c r="O155" s="143">
        <v>44323.492331425099</v>
      </c>
      <c r="P155" s="143">
        <v>44579.421504541657</v>
      </c>
      <c r="Q155" s="144">
        <v>45759.495874049819</v>
      </c>
      <c r="R155" s="144">
        <v>46483</v>
      </c>
      <c r="S155" s="144">
        <v>47889</v>
      </c>
      <c r="T155" s="144">
        <v>49450</v>
      </c>
      <c r="U155" s="144">
        <v>51055.973309337234</v>
      </c>
      <c r="V155" s="144">
        <v>53453.13333587737</v>
      </c>
      <c r="W155" s="163">
        <v>56756.333451666978</v>
      </c>
      <c r="X155" s="163">
        <v>56768.871464908763</v>
      </c>
      <c r="Y155" s="163">
        <v>58702</v>
      </c>
    </row>
    <row r="156" spans="1:25" ht="15" x14ac:dyDescent="0.2">
      <c r="A156" s="141" t="s">
        <v>33</v>
      </c>
      <c r="B156" s="142">
        <v>4318</v>
      </c>
      <c r="C156" s="141" t="s">
        <v>825</v>
      </c>
      <c r="D156" s="141" t="s">
        <v>754</v>
      </c>
      <c r="E156" s="143">
        <v>68947</v>
      </c>
      <c r="F156" s="143">
        <v>70569</v>
      </c>
      <c r="G156" s="143">
        <v>71263</v>
      </c>
      <c r="H156" s="143">
        <v>71487</v>
      </c>
      <c r="I156" s="143">
        <v>71762</v>
      </c>
      <c r="J156" s="143">
        <v>72436</v>
      </c>
      <c r="K156" s="143">
        <v>72804</v>
      </c>
      <c r="L156" s="143">
        <v>70650</v>
      </c>
      <c r="M156" s="143">
        <v>69843</v>
      </c>
      <c r="N156" s="143">
        <v>75861</v>
      </c>
      <c r="O156" s="143">
        <v>77444.436129138703</v>
      </c>
      <c r="P156" s="143">
        <v>70240.518972302787</v>
      </c>
      <c r="Q156" s="144">
        <v>76349.824896230319</v>
      </c>
      <c r="R156" s="144">
        <v>78015</v>
      </c>
      <c r="S156" s="144">
        <v>78701</v>
      </c>
      <c r="T156" s="144">
        <v>79765</v>
      </c>
      <c r="U156" s="144">
        <v>80503</v>
      </c>
      <c r="V156" s="144">
        <v>85579.087814014914</v>
      </c>
      <c r="W156" s="163">
        <v>84548.839770243212</v>
      </c>
      <c r="X156" s="163">
        <v>85511.927649993639</v>
      </c>
      <c r="Y156" s="163" t="s">
        <v>794</v>
      </c>
    </row>
    <row r="157" spans="1:25" ht="15" x14ac:dyDescent="0.2">
      <c r="A157" s="141" t="s">
        <v>33</v>
      </c>
      <c r="B157" s="142">
        <v>4866</v>
      </c>
      <c r="C157" s="141" t="s">
        <v>4</v>
      </c>
      <c r="D157" s="141" t="s">
        <v>754</v>
      </c>
      <c r="E157" s="143">
        <v>33649</v>
      </c>
      <c r="F157" s="143">
        <v>35599</v>
      </c>
      <c r="G157" s="143">
        <v>47472</v>
      </c>
      <c r="H157" s="143">
        <v>47472</v>
      </c>
      <c r="I157" s="143">
        <v>47472</v>
      </c>
      <c r="J157" s="143">
        <v>50423</v>
      </c>
      <c r="K157" s="143">
        <v>51695</v>
      </c>
      <c r="L157" s="143">
        <v>51863</v>
      </c>
      <c r="M157" s="143">
        <v>41383</v>
      </c>
      <c r="N157" s="143">
        <v>41229</v>
      </c>
      <c r="O157" s="143">
        <v>34412.672573495794</v>
      </c>
      <c r="P157" s="143">
        <v>34790.201417088741</v>
      </c>
      <c r="Q157" s="144">
        <v>35108.808014945665</v>
      </c>
      <c r="R157" s="144">
        <v>35278</v>
      </c>
      <c r="S157" s="144">
        <v>40412</v>
      </c>
      <c r="T157" s="144">
        <v>38265</v>
      </c>
      <c r="U157" s="144">
        <v>38621.441964071477</v>
      </c>
      <c r="V157" s="144">
        <v>37213.654975957295</v>
      </c>
      <c r="W157" s="163">
        <v>37540.087540393841</v>
      </c>
      <c r="X157" s="163">
        <v>38271.291017509946</v>
      </c>
      <c r="Y157" s="163">
        <v>38260</v>
      </c>
    </row>
    <row r="158" spans="1:25" ht="15" x14ac:dyDescent="0.2">
      <c r="A158" s="141" t="s">
        <v>33</v>
      </c>
      <c r="B158" s="142">
        <v>5393</v>
      </c>
      <c r="C158" s="141" t="s">
        <v>89</v>
      </c>
      <c r="D158" s="141" t="s">
        <v>754</v>
      </c>
      <c r="E158" s="143">
        <v>21525</v>
      </c>
      <c r="F158" s="143">
        <v>22090</v>
      </c>
      <c r="G158" s="143">
        <v>22876</v>
      </c>
      <c r="H158" s="143">
        <v>23759</v>
      </c>
      <c r="I158" s="143">
        <v>24666</v>
      </c>
      <c r="J158" s="143">
        <v>25078</v>
      </c>
      <c r="K158" s="143">
        <v>25692</v>
      </c>
      <c r="L158" s="143">
        <v>24084</v>
      </c>
      <c r="M158" s="143">
        <v>23712</v>
      </c>
      <c r="N158" s="143">
        <v>30793</v>
      </c>
      <c r="O158" s="143">
        <v>29924</v>
      </c>
      <c r="P158" s="143">
        <v>33226.325272942093</v>
      </c>
      <c r="Q158" s="144">
        <v>33713.894322062566</v>
      </c>
      <c r="R158" s="144">
        <v>33857</v>
      </c>
      <c r="S158" s="144">
        <v>28059</v>
      </c>
      <c r="T158" s="144">
        <v>34778</v>
      </c>
      <c r="U158" s="144">
        <v>34747.402760054545</v>
      </c>
      <c r="V158" s="144">
        <v>35696.53405413311</v>
      </c>
      <c r="W158" s="163">
        <v>36589.481301100081</v>
      </c>
      <c r="X158" s="163">
        <v>37172.077526661778</v>
      </c>
      <c r="Y158" s="163">
        <v>37657</v>
      </c>
    </row>
    <row r="159" spans="1:25" ht="15" x14ac:dyDescent="0.2">
      <c r="A159" s="141" t="s">
        <v>33</v>
      </c>
      <c r="B159" s="142">
        <v>5807</v>
      </c>
      <c r="C159" s="141" t="s">
        <v>826</v>
      </c>
      <c r="D159" s="141" t="s">
        <v>754</v>
      </c>
      <c r="E159" s="143">
        <v>1976</v>
      </c>
      <c r="F159" s="143">
        <v>1976</v>
      </c>
      <c r="G159" s="143">
        <v>1976</v>
      </c>
      <c r="H159" s="143">
        <v>1976</v>
      </c>
      <c r="I159" s="143">
        <v>1976</v>
      </c>
      <c r="J159" s="143">
        <v>1976</v>
      </c>
      <c r="K159" s="143">
        <v>1976</v>
      </c>
      <c r="L159" s="143">
        <v>1976</v>
      </c>
      <c r="M159" s="143">
        <v>1976</v>
      </c>
      <c r="N159" s="143">
        <v>1946</v>
      </c>
      <c r="O159" s="143">
        <v>1667.5489665267683</v>
      </c>
      <c r="P159" s="143">
        <v>1864.8241305955432</v>
      </c>
      <c r="Q159" s="144">
        <v>1864.8241305955432</v>
      </c>
      <c r="R159" s="144">
        <v>1827</v>
      </c>
      <c r="S159" s="144">
        <v>1829</v>
      </c>
      <c r="T159" s="144">
        <v>0</v>
      </c>
      <c r="U159" s="144">
        <v>1828.9619694541875</v>
      </c>
      <c r="V159" s="144">
        <v>1828.9619694541875</v>
      </c>
      <c r="W159" s="163">
        <v>1828.9621280840904</v>
      </c>
      <c r="X159" s="163">
        <v>1828.9621464626184</v>
      </c>
      <c r="Y159" s="163">
        <v>1829</v>
      </c>
    </row>
    <row r="160" spans="1:25" ht="15" x14ac:dyDescent="0.2">
      <c r="A160" s="141" t="s">
        <v>33</v>
      </c>
      <c r="B160" s="142">
        <v>7448</v>
      </c>
      <c r="C160" s="141" t="s">
        <v>827</v>
      </c>
      <c r="D160" s="141" t="s">
        <v>754</v>
      </c>
      <c r="E160" s="143">
        <v>2600</v>
      </c>
      <c r="F160" s="143">
        <v>2600</v>
      </c>
      <c r="G160" s="143">
        <v>2600</v>
      </c>
      <c r="H160" s="143">
        <v>2600</v>
      </c>
      <c r="I160" s="143">
        <v>2600</v>
      </c>
      <c r="J160" s="143">
        <v>2600</v>
      </c>
      <c r="K160" s="143">
        <v>1254</v>
      </c>
      <c r="L160" s="143">
        <v>1254</v>
      </c>
      <c r="M160" s="143">
        <v>1254</v>
      </c>
      <c r="N160" s="143">
        <v>1254</v>
      </c>
      <c r="O160" s="143">
        <v>3198.3297541723387</v>
      </c>
      <c r="P160" s="143">
        <v>1254</v>
      </c>
      <c r="Q160" s="144">
        <v>1254</v>
      </c>
      <c r="R160" s="144">
        <v>1254</v>
      </c>
      <c r="T160">
        <v>1254</v>
      </c>
      <c r="U160" s="144">
        <v>1339</v>
      </c>
      <c r="V160" s="144">
        <v>1339</v>
      </c>
      <c r="W160" s="163">
        <v>1339</v>
      </c>
      <c r="X160" s="163">
        <v>1339</v>
      </c>
      <c r="Y160" s="163">
        <v>1339</v>
      </c>
    </row>
    <row r="161" spans="1:25" ht="15" x14ac:dyDescent="0.2">
      <c r="A161" s="141" t="s">
        <v>33</v>
      </c>
      <c r="B161" s="142">
        <v>8836</v>
      </c>
      <c r="C161" s="141" t="s">
        <v>828</v>
      </c>
      <c r="D161" s="141" t="s">
        <v>754</v>
      </c>
      <c r="E161" s="143">
        <v>16900</v>
      </c>
      <c r="F161" s="143">
        <v>16473</v>
      </c>
      <c r="G161" s="143">
        <v>16759</v>
      </c>
      <c r="H161" s="143">
        <v>15473</v>
      </c>
      <c r="I161" s="143">
        <v>14519</v>
      </c>
      <c r="J161" s="143">
        <v>14519</v>
      </c>
      <c r="K161" s="143" t="s">
        <v>840</v>
      </c>
      <c r="L161" s="143" t="s">
        <v>840</v>
      </c>
      <c r="M161" s="143" t="s">
        <v>840</v>
      </c>
      <c r="N161" s="143" t="s">
        <v>840</v>
      </c>
      <c r="O161" s="143">
        <v>209042.87561540242</v>
      </c>
      <c r="P161" s="143">
        <v>213039.27216258497</v>
      </c>
      <c r="Q161" s="144">
        <v>221778.1472357267</v>
      </c>
      <c r="R161" s="144">
        <v>228977</v>
      </c>
      <c r="S161" s="144">
        <v>231609</v>
      </c>
      <c r="T161" s="144">
        <v>226601</v>
      </c>
      <c r="U161" s="144">
        <v>230055</v>
      </c>
      <c r="V161" s="144">
        <v>234659</v>
      </c>
      <c r="W161" s="163">
        <v>241131</v>
      </c>
      <c r="X161" s="163">
        <v>244663</v>
      </c>
      <c r="Y161" s="163">
        <v>257733</v>
      </c>
    </row>
    <row r="162" spans="1:25" ht="15" x14ac:dyDescent="0.2">
      <c r="A162" s="141" t="s">
        <v>33</v>
      </c>
      <c r="B162" s="142">
        <v>9638</v>
      </c>
      <c r="C162" s="141" t="s">
        <v>490</v>
      </c>
      <c r="D162" s="141" t="s">
        <v>754</v>
      </c>
      <c r="E162" s="143">
        <v>0</v>
      </c>
      <c r="F162" s="143">
        <v>0</v>
      </c>
      <c r="G162" s="143">
        <v>0</v>
      </c>
      <c r="H162" s="143">
        <v>0</v>
      </c>
      <c r="I162" s="143">
        <v>0</v>
      </c>
      <c r="J162" s="143">
        <v>0</v>
      </c>
      <c r="K162" s="143">
        <v>0</v>
      </c>
      <c r="L162" s="143">
        <v>0</v>
      </c>
      <c r="M162" s="143">
        <v>0</v>
      </c>
      <c r="N162" s="143">
        <v>0</v>
      </c>
      <c r="O162" s="143" t="s">
        <v>794</v>
      </c>
      <c r="P162" s="143" t="s">
        <v>794</v>
      </c>
      <c r="Q162" s="144" t="s">
        <v>794</v>
      </c>
      <c r="R162" s="144">
        <v>0</v>
      </c>
      <c r="S162" s="144">
        <v>1753</v>
      </c>
      <c r="T162" s="144" t="s">
        <v>794</v>
      </c>
      <c r="U162" s="144" t="s">
        <v>794</v>
      </c>
      <c r="V162" s="144" t="s">
        <v>794</v>
      </c>
      <c r="W162" s="163" t="s">
        <v>794</v>
      </c>
      <c r="X162" s="163" t="s">
        <v>794</v>
      </c>
      <c r="Y162" s="163" t="s">
        <v>794</v>
      </c>
    </row>
    <row r="163" spans="1:25" ht="15" x14ac:dyDescent="0.2">
      <c r="A163" s="141" t="s">
        <v>23</v>
      </c>
      <c r="B163" s="142">
        <v>1368</v>
      </c>
      <c r="C163" s="141" t="s">
        <v>829</v>
      </c>
      <c r="D163" s="141" t="s">
        <v>759</v>
      </c>
      <c r="E163" s="143">
        <v>3128</v>
      </c>
      <c r="F163" s="143">
        <v>3167</v>
      </c>
      <c r="G163" s="143">
        <v>3212</v>
      </c>
      <c r="H163" s="143">
        <v>3333</v>
      </c>
      <c r="I163" s="143">
        <v>3477</v>
      </c>
      <c r="J163" s="143">
        <v>3598</v>
      </c>
      <c r="K163" s="143">
        <v>3600</v>
      </c>
      <c r="L163" s="143">
        <v>3878</v>
      </c>
      <c r="M163" s="143">
        <v>3927</v>
      </c>
      <c r="N163" s="143">
        <v>3733</v>
      </c>
      <c r="O163" s="143">
        <v>3724</v>
      </c>
      <c r="P163" s="143">
        <v>3721.78579631103</v>
      </c>
      <c r="Q163" s="144">
        <v>3823.6301300245327</v>
      </c>
      <c r="R163" s="144">
        <v>3663</v>
      </c>
      <c r="S163" s="144">
        <v>4107</v>
      </c>
      <c r="T163" s="144">
        <v>3871</v>
      </c>
      <c r="U163" s="144">
        <v>3921.8672560192904</v>
      </c>
      <c r="V163" s="144">
        <v>3983.7122535588451</v>
      </c>
      <c r="W163" s="163">
        <v>4052.7020079087956</v>
      </c>
      <c r="X163" s="163">
        <v>4519.5664442919442</v>
      </c>
      <c r="Y163" s="163">
        <v>4466</v>
      </c>
    </row>
    <row r="164" spans="1:25" ht="15" x14ac:dyDescent="0.2">
      <c r="A164" s="141" t="s">
        <v>23</v>
      </c>
      <c r="B164" s="142">
        <v>2622</v>
      </c>
      <c r="C164" s="141" t="s">
        <v>830</v>
      </c>
      <c r="D164" s="141" t="s">
        <v>759</v>
      </c>
      <c r="E164" s="143">
        <v>2572</v>
      </c>
      <c r="F164" s="143">
        <v>2572</v>
      </c>
      <c r="G164" s="143">
        <v>2572</v>
      </c>
      <c r="H164" s="143">
        <v>2906</v>
      </c>
      <c r="I164" s="143">
        <v>2906</v>
      </c>
      <c r="J164" s="143">
        <v>2906</v>
      </c>
      <c r="K164" s="143">
        <v>2906</v>
      </c>
      <c r="L164" s="143">
        <v>2906</v>
      </c>
      <c r="M164" s="143">
        <v>1681</v>
      </c>
      <c r="N164" s="143">
        <v>1691</v>
      </c>
      <c r="O164" s="143">
        <v>1640</v>
      </c>
      <c r="P164" s="143">
        <v>1597.9038719105477</v>
      </c>
      <c r="Q164" s="144">
        <v>1753</v>
      </c>
      <c r="R164" s="144">
        <v>1753</v>
      </c>
      <c r="S164" s="144">
        <v>1753</v>
      </c>
      <c r="T164" s="144" t="s">
        <v>794</v>
      </c>
      <c r="U164" s="144">
        <v>1753</v>
      </c>
      <c r="V164" s="144" t="s">
        <v>794</v>
      </c>
      <c r="W164" s="163" t="s">
        <v>794</v>
      </c>
      <c r="X164" s="163" t="s">
        <v>794</v>
      </c>
      <c r="Y164" s="163" t="s">
        <v>794</v>
      </c>
    </row>
    <row r="165" spans="1:25" ht="15" x14ac:dyDescent="0.2">
      <c r="A165" s="141" t="s">
        <v>23</v>
      </c>
      <c r="B165" s="142">
        <v>6519</v>
      </c>
      <c r="C165" s="141" t="s">
        <v>60</v>
      </c>
      <c r="D165" s="141" t="s">
        <v>759</v>
      </c>
      <c r="E165" s="143">
        <v>2032</v>
      </c>
      <c r="F165" s="143">
        <v>2050</v>
      </c>
      <c r="G165" s="143">
        <v>2119</v>
      </c>
      <c r="H165" s="143">
        <v>2119</v>
      </c>
      <c r="I165" s="143">
        <v>2119</v>
      </c>
      <c r="J165" s="143">
        <v>2631</v>
      </c>
      <c r="K165" s="143">
        <v>2327</v>
      </c>
      <c r="L165" s="143">
        <v>2344</v>
      </c>
      <c r="M165" s="143">
        <v>2744</v>
      </c>
      <c r="N165" s="143">
        <v>3793</v>
      </c>
      <c r="O165" s="143">
        <v>2644</v>
      </c>
      <c r="P165" s="143">
        <v>2682.0580306043807</v>
      </c>
      <c r="Q165" s="144">
        <v>2716.3362386001722</v>
      </c>
      <c r="R165" s="144">
        <v>2669</v>
      </c>
      <c r="S165" s="144">
        <v>2698</v>
      </c>
      <c r="T165" s="144">
        <v>2749</v>
      </c>
      <c r="U165" s="144">
        <v>3851.0221004360328</v>
      </c>
      <c r="V165" s="144">
        <v>3873.6507422012969</v>
      </c>
      <c r="W165" s="163">
        <v>3868.7131765762288</v>
      </c>
      <c r="X165" s="163">
        <v>3891.9206444307692</v>
      </c>
      <c r="Y165" s="163">
        <v>3903</v>
      </c>
    </row>
    <row r="166" spans="1:25" ht="15" x14ac:dyDescent="0.2">
      <c r="A166" s="141" t="s">
        <v>23</v>
      </c>
      <c r="B166" s="142">
        <v>7185</v>
      </c>
      <c r="C166" s="141" t="s">
        <v>91</v>
      </c>
      <c r="D166" s="141" t="s">
        <v>759</v>
      </c>
      <c r="E166" s="143">
        <v>1186</v>
      </c>
      <c r="F166" s="143">
        <v>1278</v>
      </c>
      <c r="G166" s="143">
        <v>800</v>
      </c>
      <c r="H166" s="143">
        <v>819</v>
      </c>
      <c r="I166" s="143">
        <v>819</v>
      </c>
      <c r="J166" s="143">
        <v>819</v>
      </c>
      <c r="K166" s="143">
        <v>819</v>
      </c>
      <c r="L166" s="143">
        <v>819</v>
      </c>
      <c r="M166" s="143">
        <v>819</v>
      </c>
      <c r="N166" s="143">
        <v>679</v>
      </c>
      <c r="O166" s="143">
        <v>1035</v>
      </c>
      <c r="P166" s="143">
        <v>1020.4494037979288</v>
      </c>
      <c r="Q166" s="144">
        <v>932.29539771067311</v>
      </c>
      <c r="R166" s="144">
        <v>876</v>
      </c>
      <c r="S166" s="144">
        <v>1370</v>
      </c>
      <c r="T166" s="144">
        <v>1370</v>
      </c>
      <c r="U166" s="144">
        <v>1095.2470032312249</v>
      </c>
      <c r="V166" s="144">
        <v>921.61028320676246</v>
      </c>
      <c r="W166" s="163">
        <v>856.06896654595391</v>
      </c>
      <c r="X166" s="163">
        <v>823.24036977479932</v>
      </c>
      <c r="Y166" s="163">
        <v>1010</v>
      </c>
    </row>
    <row r="167" spans="1:25" ht="15" x14ac:dyDescent="0.2">
      <c r="A167" s="141" t="s">
        <v>23</v>
      </c>
      <c r="B167" s="142">
        <v>7799</v>
      </c>
      <c r="C167" s="141" t="s">
        <v>831</v>
      </c>
      <c r="D167" s="141" t="s">
        <v>759</v>
      </c>
      <c r="E167" s="143" t="s">
        <v>840</v>
      </c>
      <c r="F167" s="143" t="s">
        <v>840</v>
      </c>
      <c r="G167" s="143" t="s">
        <v>840</v>
      </c>
      <c r="H167" s="143" t="s">
        <v>840</v>
      </c>
      <c r="I167" s="143" t="s">
        <v>840</v>
      </c>
      <c r="J167" s="143">
        <v>1242</v>
      </c>
      <c r="K167" s="143">
        <v>1242</v>
      </c>
      <c r="L167" s="143">
        <v>1242</v>
      </c>
      <c r="M167" s="143">
        <v>1242</v>
      </c>
      <c r="N167" s="143">
        <v>693</v>
      </c>
      <c r="O167" s="143" t="s">
        <v>794</v>
      </c>
      <c r="P167" s="143" t="s">
        <v>794</v>
      </c>
      <c r="Q167" s="144"/>
      <c r="R167" s="148" t="s">
        <v>794</v>
      </c>
      <c r="S167" s="148" t="s">
        <v>794</v>
      </c>
      <c r="T167" s="148" t="s">
        <v>794</v>
      </c>
      <c r="U167" s="144" t="s">
        <v>794</v>
      </c>
      <c r="V167" s="144" t="s">
        <v>794</v>
      </c>
      <c r="W167" s="163" t="s">
        <v>794</v>
      </c>
      <c r="X167" s="163" t="s">
        <v>794</v>
      </c>
      <c r="Y167" s="163" t="s">
        <v>794</v>
      </c>
    </row>
    <row r="168" spans="1:25" ht="15" x14ac:dyDescent="0.2">
      <c r="A168" s="141" t="s">
        <v>23</v>
      </c>
      <c r="B168" s="142">
        <v>8135</v>
      </c>
      <c r="C168" s="141" t="s">
        <v>832</v>
      </c>
      <c r="D168" s="141" t="s">
        <v>759</v>
      </c>
      <c r="E168" s="143">
        <v>5747</v>
      </c>
      <c r="F168" s="143">
        <v>5732</v>
      </c>
      <c r="G168" s="143">
        <v>5753</v>
      </c>
      <c r="H168" s="143">
        <v>11318</v>
      </c>
      <c r="I168" s="143">
        <v>12450</v>
      </c>
      <c r="J168" s="143">
        <v>13103</v>
      </c>
      <c r="K168" s="143">
        <v>14424</v>
      </c>
      <c r="L168" s="143">
        <v>14783</v>
      </c>
      <c r="M168" s="143">
        <v>9542</v>
      </c>
      <c r="N168" s="143">
        <v>15346</v>
      </c>
      <c r="O168" s="143">
        <v>15269</v>
      </c>
      <c r="P168" s="143">
        <v>15343</v>
      </c>
      <c r="Q168" s="144">
        <v>15659</v>
      </c>
      <c r="R168" s="144">
        <v>19734</v>
      </c>
      <c r="S168" s="144">
        <v>19793</v>
      </c>
      <c r="T168" s="144">
        <v>20194</v>
      </c>
      <c r="U168" s="144">
        <v>18495</v>
      </c>
      <c r="V168" s="144">
        <v>22646.684348469778</v>
      </c>
      <c r="W168" s="163">
        <v>20012</v>
      </c>
      <c r="X168" s="163">
        <v>17867</v>
      </c>
      <c r="Y168" s="163">
        <v>16399</v>
      </c>
    </row>
    <row r="169" spans="1:25" ht="15" x14ac:dyDescent="0.2">
      <c r="A169" s="141" t="s">
        <v>23</v>
      </c>
      <c r="B169" s="142">
        <v>8193</v>
      </c>
      <c r="C169" s="141" t="s">
        <v>61</v>
      </c>
      <c r="D169" s="141" t="s">
        <v>759</v>
      </c>
      <c r="E169" s="143">
        <v>1072</v>
      </c>
      <c r="F169" s="143">
        <v>1155</v>
      </c>
      <c r="G169" s="143">
        <v>930</v>
      </c>
      <c r="H169" s="143">
        <v>933</v>
      </c>
      <c r="I169" s="143">
        <v>983</v>
      </c>
      <c r="J169" s="143">
        <v>983</v>
      </c>
      <c r="K169" s="143">
        <v>1453</v>
      </c>
      <c r="L169" s="143">
        <v>1453</v>
      </c>
      <c r="M169" s="143">
        <v>1453</v>
      </c>
      <c r="N169" s="143">
        <v>0</v>
      </c>
      <c r="O169" s="143" t="s">
        <v>794</v>
      </c>
      <c r="P169" s="143">
        <v>1430</v>
      </c>
      <c r="Q169" s="144">
        <v>1147.7625600000001</v>
      </c>
      <c r="R169" s="144">
        <v>1129</v>
      </c>
      <c r="S169" s="144">
        <v>1142</v>
      </c>
      <c r="T169" s="144">
        <v>1057</v>
      </c>
      <c r="U169" s="144">
        <v>1060.4328</v>
      </c>
      <c r="V169" s="144">
        <v>1169.595</v>
      </c>
      <c r="W169" s="163">
        <v>1169.5950375</v>
      </c>
      <c r="X169" s="163">
        <v>1172.7139530181885</v>
      </c>
      <c r="Y169" s="163">
        <v>1163</v>
      </c>
    </row>
    <row r="170" spans="1:25" ht="15" x14ac:dyDescent="0.2">
      <c r="A170" s="141" t="s">
        <v>23</v>
      </c>
      <c r="B170" s="142">
        <v>12584</v>
      </c>
      <c r="C170" s="141" t="s">
        <v>919</v>
      </c>
      <c r="D170" s="141" t="s">
        <v>759</v>
      </c>
      <c r="E170" s="143">
        <v>0</v>
      </c>
      <c r="F170" s="143">
        <v>0</v>
      </c>
      <c r="G170" s="143">
        <v>0</v>
      </c>
      <c r="H170" s="143">
        <v>0</v>
      </c>
      <c r="I170" s="143">
        <v>0</v>
      </c>
      <c r="J170" s="143">
        <v>0</v>
      </c>
      <c r="K170" s="143">
        <v>0</v>
      </c>
      <c r="L170" s="143">
        <v>0</v>
      </c>
      <c r="M170" s="143">
        <v>0</v>
      </c>
      <c r="N170" s="143">
        <v>0</v>
      </c>
      <c r="O170" s="143">
        <v>0</v>
      </c>
      <c r="P170" s="143">
        <v>0</v>
      </c>
      <c r="Q170" s="143">
        <v>0</v>
      </c>
      <c r="R170" s="143">
        <v>0</v>
      </c>
      <c r="S170" s="143">
        <v>0</v>
      </c>
      <c r="T170" s="143">
        <v>0</v>
      </c>
      <c r="U170" s="143">
        <v>0</v>
      </c>
      <c r="V170" s="143">
        <v>0</v>
      </c>
      <c r="W170" s="163" t="s">
        <v>794</v>
      </c>
      <c r="X170" s="163">
        <v>204.44651395297205</v>
      </c>
      <c r="Y170" s="163">
        <v>222</v>
      </c>
    </row>
    <row r="171" spans="1:25" ht="15" x14ac:dyDescent="0.2">
      <c r="A171" s="141" t="s">
        <v>23</v>
      </c>
      <c r="B171" s="142">
        <v>13005</v>
      </c>
      <c r="C171" s="141" t="s">
        <v>833</v>
      </c>
      <c r="D171" s="141" t="s">
        <v>759</v>
      </c>
      <c r="E171" s="143" t="s">
        <v>840</v>
      </c>
      <c r="F171" s="143" t="s">
        <v>840</v>
      </c>
      <c r="G171" s="143" t="s">
        <v>840</v>
      </c>
      <c r="H171" s="143" t="s">
        <v>840</v>
      </c>
      <c r="I171" s="143">
        <v>34461</v>
      </c>
      <c r="J171" s="143">
        <v>42488</v>
      </c>
      <c r="K171" s="143">
        <v>48653</v>
      </c>
      <c r="L171" s="143">
        <v>54024</v>
      </c>
      <c r="M171" s="143">
        <v>57227</v>
      </c>
      <c r="N171" s="143">
        <v>61601</v>
      </c>
      <c r="O171" s="143">
        <v>65882</v>
      </c>
      <c r="P171" s="143">
        <v>64711</v>
      </c>
      <c r="Q171" s="144">
        <v>70298</v>
      </c>
      <c r="R171" s="144">
        <v>77132</v>
      </c>
      <c r="S171" s="144">
        <v>80481</v>
      </c>
      <c r="T171" s="144">
        <v>84083</v>
      </c>
      <c r="U171" s="144">
        <v>87143</v>
      </c>
      <c r="V171" s="144">
        <v>88453</v>
      </c>
      <c r="W171" s="163">
        <v>89679</v>
      </c>
      <c r="X171" s="163">
        <v>91919.708629049768</v>
      </c>
      <c r="Y171" s="163">
        <v>91775</v>
      </c>
    </row>
    <row r="172" spans="1:25" ht="15" x14ac:dyDescent="0.2">
      <c r="A172" s="141" t="s">
        <v>23</v>
      </c>
      <c r="B172" s="142">
        <v>13123</v>
      </c>
      <c r="C172" s="141" t="s">
        <v>834</v>
      </c>
      <c r="D172" s="141" t="s">
        <v>759</v>
      </c>
      <c r="E172" s="143">
        <v>0</v>
      </c>
      <c r="F172" s="143">
        <v>0</v>
      </c>
      <c r="G172" s="143">
        <v>0</v>
      </c>
      <c r="H172" s="143">
        <v>0</v>
      </c>
      <c r="I172" s="143">
        <v>0</v>
      </c>
      <c r="J172" s="143">
        <v>0</v>
      </c>
      <c r="K172" s="143">
        <v>0</v>
      </c>
      <c r="L172" s="143">
        <v>0</v>
      </c>
      <c r="M172" s="143">
        <v>124</v>
      </c>
      <c r="N172" s="143">
        <v>542</v>
      </c>
      <c r="O172" s="143" t="s">
        <v>794</v>
      </c>
      <c r="P172" s="143" t="s">
        <v>794</v>
      </c>
      <c r="Q172" s="144"/>
      <c r="R172" s="148" t="s">
        <v>794</v>
      </c>
      <c r="S172" s="148" t="s">
        <v>794</v>
      </c>
      <c r="T172" s="148" t="s">
        <v>794</v>
      </c>
      <c r="U172" s="144" t="s">
        <v>794</v>
      </c>
      <c r="V172" s="144" t="s">
        <v>794</v>
      </c>
      <c r="W172" s="163" t="s">
        <v>794</v>
      </c>
      <c r="X172" s="163" t="s">
        <v>794</v>
      </c>
      <c r="Y172" s="163" t="s">
        <v>794</v>
      </c>
    </row>
    <row r="173" spans="1:25" ht="15" x14ac:dyDescent="0.2">
      <c r="A173" s="141" t="s">
        <v>23</v>
      </c>
      <c r="B173" s="142">
        <v>20597</v>
      </c>
      <c r="C173" s="141" t="s">
        <v>912</v>
      </c>
      <c r="D173" s="141" t="s">
        <v>759</v>
      </c>
      <c r="Q173" t="s">
        <v>794</v>
      </c>
      <c r="R173" t="s">
        <v>794</v>
      </c>
      <c r="S173" t="s">
        <v>794</v>
      </c>
      <c r="T173" s="144">
        <v>2405</v>
      </c>
      <c r="U173" s="144">
        <v>1831</v>
      </c>
      <c r="V173" s="144">
        <v>1597.9038719105477</v>
      </c>
      <c r="W173" s="163">
        <v>1597.9039547173895</v>
      </c>
      <c r="X173" s="163">
        <v>1595.0026183033797</v>
      </c>
      <c r="Y173" s="163">
        <v>1595</v>
      </c>
    </row>
    <row r="174" spans="1:25" ht="15" x14ac:dyDescent="0.2">
      <c r="A174" s="141" t="s">
        <v>23</v>
      </c>
      <c r="B174">
        <v>20721</v>
      </c>
      <c r="C174" t="s">
        <v>931</v>
      </c>
      <c r="D174" s="141" t="s">
        <v>759</v>
      </c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4"/>
      <c r="R174" s="148"/>
      <c r="S174" s="148"/>
      <c r="T174" s="148" t="s">
        <v>794</v>
      </c>
      <c r="U174" s="144" t="s">
        <v>794</v>
      </c>
      <c r="V174" s="144" t="s">
        <v>794</v>
      </c>
      <c r="W174" s="163">
        <v>1835</v>
      </c>
      <c r="X174" s="163">
        <v>8063.6978585867655</v>
      </c>
      <c r="Y174" s="163">
        <v>15966</v>
      </c>
    </row>
    <row r="175" spans="1:25" x14ac:dyDescent="0.2">
      <c r="P175" s="120"/>
      <c r="Q175" s="120"/>
    </row>
    <row r="176" spans="1:25" x14ac:dyDescent="0.2">
      <c r="P176" s="120"/>
      <c r="Q176" s="120"/>
    </row>
    <row r="177" spans="16:17" x14ac:dyDescent="0.2">
      <c r="P177" s="120"/>
      <c r="Q177" s="120"/>
    </row>
    <row r="178" spans="16:17" x14ac:dyDescent="0.2">
      <c r="P178" s="120"/>
      <c r="Q178" s="120"/>
    </row>
    <row r="179" spans="16:17" x14ac:dyDescent="0.2">
      <c r="P179" s="120"/>
      <c r="Q179" s="120"/>
    </row>
    <row r="180" spans="16:17" x14ac:dyDescent="0.2">
      <c r="P180" s="120"/>
      <c r="Q180" s="120"/>
    </row>
    <row r="181" spans="16:17" x14ac:dyDescent="0.2">
      <c r="P181" s="120"/>
      <c r="Q181" s="120"/>
    </row>
    <row r="182" spans="16:17" x14ac:dyDescent="0.2">
      <c r="P182" s="120"/>
      <c r="Q182" s="120"/>
    </row>
    <row r="183" spans="16:17" x14ac:dyDescent="0.2">
      <c r="P183" s="120"/>
      <c r="Q183" s="120"/>
    </row>
    <row r="184" spans="16:17" x14ac:dyDescent="0.2">
      <c r="P184" s="120"/>
      <c r="Q184" s="120"/>
    </row>
    <row r="185" spans="16:17" x14ac:dyDescent="0.2">
      <c r="P185" s="120"/>
      <c r="Q185" s="120"/>
    </row>
    <row r="186" spans="16:17" x14ac:dyDescent="0.2">
      <c r="P186" s="120"/>
      <c r="Q186" s="120"/>
    </row>
    <row r="187" spans="16:17" x14ac:dyDescent="0.2">
      <c r="P187" s="120"/>
      <c r="Q187" s="120"/>
    </row>
    <row r="188" spans="16:17" x14ac:dyDescent="0.2">
      <c r="P188" s="120"/>
      <c r="Q188" s="120"/>
    </row>
    <row r="189" spans="16:17" x14ac:dyDescent="0.2">
      <c r="P189" s="120"/>
      <c r="Q189" s="120"/>
    </row>
    <row r="190" spans="16:17" x14ac:dyDescent="0.2">
      <c r="P190" s="120"/>
      <c r="Q190" s="120"/>
    </row>
    <row r="191" spans="16:17" x14ac:dyDescent="0.2">
      <c r="Q191" s="120"/>
    </row>
  </sheetData>
  <autoFilter ref="A4:X174" xr:uid="{00000000-0001-0000-0800-000000000000}">
    <sortState xmlns:xlrd2="http://schemas.microsoft.com/office/spreadsheetml/2017/richdata2" ref="A5:X174">
      <sortCondition ref="A4"/>
    </sortState>
  </autoFilter>
  <conditionalFormatting sqref="C173">
    <cfRule type="expression" dxfId="1" priority="2">
      <formula>MOD(ROW(),2)=0</formula>
    </cfRule>
  </conditionalFormatting>
  <conditionalFormatting sqref="B173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b 1 F S U k p G 3 m m i A A A A 9 Q A A A B I A H A B D b 2 5 m a W c v U G F j a 2 F n Z S 5 4 b W w g o h g A K K A U A A A A A A A A A A A A A A A A A A A A A A A A A A A A h Y + x D o I w G I R f h X S n L X U h 5 K c M r p K Y E I 1 r U y o 0 w o + B Y n k 3 B x / J V x C j q J v j 3 X e X 3 N 2 v N 8 i m t g k u p h 9 s h y m J K C e B Q d 2 V F q u U j O 4 Y x i S T s F X 6 p C o T z G E c k m m w K a m d O y e M e e + p X 9 G u r 5 j g P G K H f F P o 2 r Q q t D g 4 h d q Q T 6 v 8 3 y I S 9 q 8 x U t A 4 p o L P k 4 A t H u Q W v 1 z M 7 E l / T F i P j R t 7 I w 2 G u w L Y I o G 9 L 8 g H U E s D B B Q A A g A I A G 9 R U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U V J S K I p H u A 4 A A A A R A A A A E w A c A E Z v c m 1 1 b G F z L 1 N l Y 3 R p b 2 4 x L m 0 g o h g A K K A U A A A A A A A A A A A A A A A A A A A A A A A A A A A A K 0 5 N L s n M z 1 M I h t C G 1 g B Q S w E C L Q A U A A I A C A B v U V J S S k b e a a I A A A D 1 A A A A E g A A A A A A A A A A A A A A A A A A A A A A Q 2 9 u Z m l n L 1 B h Y 2 t h Z 2 U u e G 1 s U E s B A i 0 A F A A C A A g A b 1 F S U g / K 6 a u k A A A A 6 Q A A A B M A A A A A A A A A A A A A A A A A 7 g A A A F t D b 2 5 0 Z W 5 0 X 1 R 5 c G V z X S 5 4 b W x Q S w E C L Q A U A A I A C A B v U V J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9 G d c 5 Q C k v E y P 6 0 U V t e W A Q g A A A A A C A A A A A A A D Z g A A w A A A A B A A A A D S N z m d o T 5 A U K b l Z j / P 5 R W k A A A A A A S A A A C g A A A A E A A A A K K N N b z M V 5 Y Q e 4 j N l F 9 t o c d Q A A A A 1 t Q / a C r 1 F i G j Q Y W J F R H J i i h z q c N Z J f z u n + R I q D q 7 h t S z U H v O F o s + z 4 d x e k Y F s m l + U a c 2 M C / I H h w 7 K s X I h p o U 3 I 5 I 2 O D j 6 6 v 9 N N u 4 X O n w 7 Y U U A A A A m 1 K k w G Y U + 9 V 0 C e 4 F E N P L B 2 M Q P F 8 = < / D a t a M a s h u p > 
</file>

<file path=customXml/itemProps1.xml><?xml version="1.0" encoding="utf-8"?>
<ds:datastoreItem xmlns:ds="http://schemas.openxmlformats.org/officeDocument/2006/customXml" ds:itemID="{3E8225FB-059C-49FD-9C79-D1D4F9D5423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255</vt:i4>
      </vt:variant>
    </vt:vector>
  </HeadingPairs>
  <TitlesOfParts>
    <vt:vector size="265" baseType="lpstr">
      <vt:lpstr>PopulationServed</vt:lpstr>
      <vt:lpstr>Index A-Residential Account</vt:lpstr>
      <vt:lpstr>Indexed B-Service Area Summary</vt:lpstr>
      <vt:lpstr>G-Functional Tourist Population</vt:lpstr>
      <vt:lpstr>I-Funtional Net Commuter</vt:lpstr>
      <vt:lpstr>REQPOP 2022</vt:lpstr>
      <vt:lpstr>2022Data to Complete Appendix C</vt:lpstr>
      <vt:lpstr>Total_DU</vt:lpstr>
      <vt:lpstr>Population</vt:lpstr>
      <vt:lpstr>2022LodgingbyWUP</vt:lpstr>
      <vt:lpstr>C_A_B</vt:lpstr>
      <vt:lpstr>CGRUPPOP</vt:lpstr>
      <vt:lpstr>CHARLOTTE_CHARLOTTE_COUNTY_UTILITIES_WUP__3522</vt:lpstr>
      <vt:lpstr>CHARLOTTE_CHARLOTTE_COUNTY_UTILITIES_WUP__7104</vt:lpstr>
      <vt:lpstr>CHARLOTTE_CHARLOTTE_HARBOR_WATER_ASSOC._WUP__1512</vt:lpstr>
      <vt:lpstr>CHARLOTTE_CITY_OF_PUNTA_GORDA_UTILITY_DEPT_WUP__871</vt:lpstr>
      <vt:lpstr>CHARLOTTE_EL_JOBEAN_WATER_ASSOC._WUP__99913</vt:lpstr>
      <vt:lpstr>CHARLOTTE_GASPARILLA_ISLAND_WATER_ASSOC._WUP__718</vt:lpstr>
      <vt:lpstr>CHARLOTTE_HOMEOWNERS_OF_ALLIGATOR_PARK_WUP__8626</vt:lpstr>
      <vt:lpstr>CHARLOTTE_ISLAND_HARBOR_BCH_CLUB_LTD___CHAR_WUP__7768</vt:lpstr>
      <vt:lpstr>CHARLOTTE_RIVERWOOD_DEVELOPMENT_WUP__99916</vt:lpstr>
      <vt:lpstr>CHH</vt:lpstr>
      <vt:lpstr>CHOUSUNITS</vt:lpstr>
      <vt:lpstr>CITRUS_BREENBRIAR_ONE_OF_CITRUS_HILLS_OWNERS_ASSOCIATION_INC_WUP__9532</vt:lpstr>
      <vt:lpstr>CITRUS_CITRUS_COUNTY_UTILITIES_WUP__2842</vt:lpstr>
      <vt:lpstr>CITRUS_CITRUS_COUNTY_UTILITIES_WUP__7121</vt:lpstr>
      <vt:lpstr>CITRUS_CITRUS_COUNTY_UTILITIES_WUP__729</vt:lpstr>
      <vt:lpstr>CITRUS_CITRUS_COUNTY_UTILITIES_WUP__7295</vt:lpstr>
      <vt:lpstr>CITRUS_CITRUS_COUNTY_UTILITIES_WUP__7879</vt:lpstr>
      <vt:lpstr>CITRUS_CITRUS_COUNTY_UTILITIES_WUP__9791</vt:lpstr>
      <vt:lpstr>CITRUS_CITY_OF_CRYSTAL_RIVER_WUP__207</vt:lpstr>
      <vt:lpstr>CITRUS_CITY_OF_INVERNESS_WUP__419</vt:lpstr>
      <vt:lpstr>CITRUS_CONSTATE_UTILITIES_WUP__4753</vt:lpstr>
      <vt:lpstr>CITRUS_DAVID_L.__HOLLY_A.__JAMES_L.__PATRICIA_A._COOK_WUP__4008</vt:lpstr>
      <vt:lpstr>CITRUS_FLORAL_CITY_WATER_ASSOCIATION_WUP__1118</vt:lpstr>
      <vt:lpstr>CITRUS_GULF_HIGHWAY_LAND_CORP._WUP__6691</vt:lpstr>
      <vt:lpstr>CITRUS_HOMOSASSA_SPECIAL_WATER_DISTRICT_WUP__4406</vt:lpstr>
      <vt:lpstr>CITRUS_OAK_POND_LLC__A_FLORIDA_LLC_WUP__8147</vt:lpstr>
      <vt:lpstr>CITRUS_OZELLO_WATER_ASSOCIATION_INC_WUP__20230</vt:lpstr>
      <vt:lpstr>CITRUS_ROLLING_OAKS_UTILITIES__INC._WUP__4153</vt:lpstr>
      <vt:lpstr>CITRUS_ROYAL_OAKS_OF_CITRUS_HOA_WUP__1345</vt:lpstr>
      <vt:lpstr>CITRUS_TARAWOOD_OF_FLORAL_CITY_WUP__9097</vt:lpstr>
      <vt:lpstr>CITRUS_WALDEN_WOODS_OF_SUGARMILL_INC._WUP__11839</vt:lpstr>
      <vt:lpstr>COUNTY</vt:lpstr>
      <vt:lpstr>CPOPNHH</vt:lpstr>
      <vt:lpstr>D</vt:lpstr>
      <vt:lpstr>'2022Data to Complete Appendix C'!Database</vt:lpstr>
      <vt:lpstr>DESOTO_CITY_OF_ARCADIA_WUP__4725</vt:lpstr>
      <vt:lpstr>DESOTO_DESOTO_COUNTY_WUP__6841</vt:lpstr>
      <vt:lpstr>DWELLTMINUS1</vt:lpstr>
      <vt:lpstr>DWELLTMINUS2</vt:lpstr>
      <vt:lpstr>DWELLTMINUS3</vt:lpstr>
      <vt:lpstr>DWELLTMINUS4</vt:lpstr>
      <vt:lpstr>E</vt:lpstr>
      <vt:lpstr>FTOURPOP</vt:lpstr>
      <vt:lpstr>HARDEE_CITY_OF_BOWLING_GREEN_MUNICIPAL_WUP__30</vt:lpstr>
      <vt:lpstr>HARDEE_CITY_OF_WAUCHULA_WUP__4461</vt:lpstr>
      <vt:lpstr>HARDEE_HARDEE_COUNTY____WAUCHULA_SPRINGS__PWS_WUP__13026</vt:lpstr>
      <vt:lpstr>HARDEE_MHC_PEACE_RIVER_LLC_WUP__7022</vt:lpstr>
      <vt:lpstr>HARDEE_TOWN_OF_ZOLFO_SPRINGS_WUP__7658</vt:lpstr>
      <vt:lpstr>HERNANDO_CITY_OF_BROOKSVILLE_WUP__7627</vt:lpstr>
      <vt:lpstr>HERNANDO_HERNANDO_COUNTY_WATER_AND_SEWER_WUP__5789</vt:lpstr>
      <vt:lpstr>HERNANDO_MCGIST_INC.___FRONTIER_CAMPGROUD__WUP__3720</vt:lpstr>
      <vt:lpstr>HIGHLANDS_AQUA_UTILITIES_FLORIDA__INC._WUP__4167</vt:lpstr>
      <vt:lpstr>HIGHLANDS_AQUA_UTILITIES_FLORIDA__INC._WUP__6456</vt:lpstr>
      <vt:lpstr>HIGHLANDS_BUTTONWOOD_BAY_UTILITIES_WUP__7139</vt:lpstr>
      <vt:lpstr>HIGHLANDS_CITY_OF_AVON_PARK_WUP__6029</vt:lpstr>
      <vt:lpstr>HIGHLANDS_CITY_OF_SEBRING_WUP__4492</vt:lpstr>
      <vt:lpstr>HIGHLANDS_COUNTRY_CLUB_UTILITIES_WUP__7704</vt:lpstr>
      <vt:lpstr>HIGHLANDS_EAGLE_LAKE_ESTATES_LLC_WUP__9140</vt:lpstr>
      <vt:lpstr>HIGHLANDS_LAKE_PLACID_HOLDING_CO_WUP__4980</vt:lpstr>
      <vt:lpstr>HIGHLANDS_LP_UTILITIES_INC._WUP__9490</vt:lpstr>
      <vt:lpstr>HIGHLANDS_MARANANTHA_BAPTIST_CHURCH_WUP__4670</vt:lpstr>
      <vt:lpstr>HIGHLANDS_SILVER_LAKE_UTILITIES__INC._WUP__13367</vt:lpstr>
      <vt:lpstr>HIGHLANDS_SUN_N_LAKE_OF_SEBRING_WUP__13099</vt:lpstr>
      <vt:lpstr>HIGHLANDS_TOWN_OF_LAKE_PLACID_WUP__5270</vt:lpstr>
      <vt:lpstr>HILLSBOROUGH_ALLIED_UTILITIES___INC._WUP__8986</vt:lpstr>
      <vt:lpstr>HILLSBOROUGH_C_W_UTILITY_SYSTEMS_LLC_WUP__6879</vt:lpstr>
      <vt:lpstr>HILLSBOROUGH_CHARLES_SPRINGER_WUP__2285</vt:lpstr>
      <vt:lpstr>HILLSBOROUGH_CITY_OF_PLANT_CITY_UTILITIES_WUP__1776</vt:lpstr>
      <vt:lpstr>HILLSBOROUGH_CITY_OF_TAMPA_WATER_DEPT_WUP__2062</vt:lpstr>
      <vt:lpstr>HILLSBOROUGH_CITY_OF_TEMPLE_TERRACE_WUP__450</vt:lpstr>
      <vt:lpstr>HILLSBOROUGH_HILLSBOROUGH_COUNTY_UTILITIES_WUP__20141</vt:lpstr>
      <vt:lpstr>HILLSBOROUGH_LITTLE_MANATEE_ISLE_MHP_WUP__2888</vt:lpstr>
      <vt:lpstr>HILLSBOROUGH_MALCO_INDUSTRIES_INC._WUP__7002</vt:lpstr>
      <vt:lpstr>HILLSBOROUGH_PARADISE_LAKES_UTILITY__LLC_WUP__1787</vt:lpstr>
      <vt:lpstr>HILLSBOROUGH_PLURIS_PCU_INC_WUP__12994</vt:lpstr>
      <vt:lpstr>HILLSBOROUGH_RIVERSIDE_GOLF_COURSE_COMM_LLC_WUP__7637</vt:lpstr>
      <vt:lpstr>HILLSBOROUGH_UNIPROP_INCOME_FUND_II__PARADISE_VILLAGE__WUP__7790</vt:lpstr>
      <vt:lpstr>HILLSBOROUGH_UTILITIES__INC._WUP__2707</vt:lpstr>
      <vt:lpstr>HILLSBOROUGH_WILDER_CORPORATION_WUP__4757</vt:lpstr>
      <vt:lpstr>HILLSBOROUGH_WINDEMERE_UTILITY_COMPANY_WUP__10443</vt:lpstr>
      <vt:lpstr>index</vt:lpstr>
      <vt:lpstr>LEVY_CITY_OF_WILLISTON_WUP__5640</vt:lpstr>
      <vt:lpstr>LEVY_OAK_AVENUE_WATER_SYSTEM_WUP__7825</vt:lpstr>
      <vt:lpstr>LEVY_TOWN_OF_INGLIS_WUP__8953</vt:lpstr>
      <vt:lpstr>LEVY_TOWN_OF_YANKEETOWN_WUP__7755</vt:lpstr>
      <vt:lpstr>MANATEE_CITY_OF_BRADENTON_PUBLIC_WORKS_WUP__6392</vt:lpstr>
      <vt:lpstr>MANATEE_CITY_OF_PALMETTO_PUBLIC_WORKS_WUP__12443</vt:lpstr>
      <vt:lpstr>MANATEE_MANATEE_CO_PUBLIC_WORKS_DPT_WUP__13343</vt:lpstr>
      <vt:lpstr>MANATEE_TOWN_OF_LONGBOAT_KEY_WUP__10963</vt:lpstr>
      <vt:lpstr>MARION_BAY_LAUREL_CENTER_COMMUNITY_DEVELOPMENT_DISTRICT_WUP__1156</vt:lpstr>
      <vt:lpstr>MARION_CENTURY_FAIRFIELD_VILLAGE_LTD_WUP__8005</vt:lpstr>
      <vt:lpstr>MARION_CITY_OF_DUNNELLON_WUP__20213</vt:lpstr>
      <vt:lpstr>MARION_CITY_OF_DUNNELLON_WUP__8339</vt:lpstr>
      <vt:lpstr>MARION_FOXWOOD_MOBILE_HOME_PARK_WUP__5731</vt:lpstr>
      <vt:lpstr>MARION_MARION_COUNTY_UTILITIES_WUP__6151</vt:lpstr>
      <vt:lpstr>MARION_MARION_LANDING_HOMEOWNERS_WUP__8020</vt:lpstr>
      <vt:lpstr>MARION_MARION_UTILITIES_INC._WUP__2999</vt:lpstr>
      <vt:lpstr>MARION_MARION_UTILITIES_INC._WUP__6574</vt:lpstr>
      <vt:lpstr>MARION_MARION_UTILITIES_INC._WUP__7849</vt:lpstr>
      <vt:lpstr>MARION_MARION_UTILITIES_INC._WUP__8481</vt:lpstr>
      <vt:lpstr>MARION_ON_TOP_OF_THE_WORLD_INC._WUP__1156</vt:lpstr>
      <vt:lpstr>MARION_SATAKE_VILLAGE_UTILITIES_WUP__20098</vt:lpstr>
      <vt:lpstr>MARION_SOUTH_DUNNELLON_WATER_ASSOCIATION_WUP__10966</vt:lpstr>
      <vt:lpstr>MARION_SUN_COMMUNITIES___SADDLE_OAK_CLUB_MHC_WUP__6792</vt:lpstr>
      <vt:lpstr>MARION_SWEETWATER_OAKS_LTD_WUP__9425</vt:lpstr>
      <vt:lpstr>MARION_UTILITIES__INC._WUP__5643</vt:lpstr>
      <vt:lpstr>PASCO_AQUA_UTILITIES_FLORIDA__INC._WUP__11082</vt:lpstr>
      <vt:lpstr>PASCO_AQUA_UTILITIES_FLORIDA__INC._WUP__279</vt:lpstr>
      <vt:lpstr>PASCO_AQUA_UTILITIES_FLORIDA__INC._WUP__3759</vt:lpstr>
      <vt:lpstr>PASCO_ARBOR_OAKS__MINK_ASSOC.__WUP__99906</vt:lpstr>
      <vt:lpstr>PASCO_C.S._WATER_CO._INC._WUP__964</vt:lpstr>
      <vt:lpstr>PASCO_CAV._HOMEOWNERS_COOPERATIVE__INC._WUP__7588</vt:lpstr>
      <vt:lpstr>PASCO_CITY_OF_DADE_CITY_WUP__1631</vt:lpstr>
      <vt:lpstr>PASCO_CITY_OF_NEW_PORT_RICHEY_WUP__4734</vt:lpstr>
      <vt:lpstr>PASCO_CITY_OF_PORT_RICHEY_WUP__3692</vt:lpstr>
      <vt:lpstr>PASCO_CITY_OF_SAN_ANTONIO_WUP__4550</vt:lpstr>
      <vt:lpstr>PASCO_CITY_OF_ZEPHYRHILLS_WUP__6040</vt:lpstr>
      <vt:lpstr>PASCO_COUNTRY_AIRE_SERVICE_CORPORATION_WUP__3619</vt:lpstr>
      <vt:lpstr>PASCO_CRESTRIDGE_UTILITY_CORPORATION_WUP__543</vt:lpstr>
      <vt:lpstr>PASCO_FLORIDA_GOVERNMENTAL_UTILITY_AUTHORITY_WUP__2319</vt:lpstr>
      <vt:lpstr>PASCO_FLORIDA_GOVERNMENTAL_UTILITY_AUTHORITY_WUP__2978</vt:lpstr>
      <vt:lpstr>PASCO_FLORIDA_GOVERNMENTAL_UTILITY_AUTHORITY_WUP__3182</vt:lpstr>
      <vt:lpstr>PASCO_FLORIDA_GOVERNMENTAL_UTILITY_AUTHORITY_WUP__3677</vt:lpstr>
      <vt:lpstr>PASCO_FLORIDA_GOVERNMENTAL_UTILITY_AUTHORITY_WUP__590</vt:lpstr>
      <vt:lpstr>PASCO_FLORIDA_GOVERNMENTAL_UTILITY_AUTHORITY_WUP__6223</vt:lpstr>
      <vt:lpstr>PASCO_FLORIDA_GOVERNMENTAL_UTILITY_AUTHORITY_WUP__7718</vt:lpstr>
      <vt:lpstr>PASCO_FLORIDA_GOVERNMENTAL_UTILITY_AUTHORITY_WUP__7745</vt:lpstr>
      <vt:lpstr>PASCO_FLORIDA_GOVERNMENTAL_UTILITY_AUTHORITY_WUP__7999</vt:lpstr>
      <vt:lpstr>PASCO_FLORIDA_GOVERNMENTAL_UTILITY_AUTHORITY_WUP__8417</vt:lpstr>
      <vt:lpstr>PASCO_GEM_ESTATES_WUP__6640</vt:lpstr>
      <vt:lpstr>PASCO_HACIENDA_UTILITIES_LTD_WUP__5953</vt:lpstr>
      <vt:lpstr>PASCO_HOLIDAY_GARDENS_UTILITIES__INC._WUP__540</vt:lpstr>
      <vt:lpstr>PASCO_HUDSON_WATER_WORKS__INC._WUP__4669</vt:lpstr>
      <vt:lpstr>PASCO_JEFFERY_A._COLE_WUP__6982</vt:lpstr>
      <vt:lpstr>PASCO_L.W.V._UTILITIES__INC._WUP__7299</vt:lpstr>
      <vt:lpstr>PASCO_ORANGEWOOD_LAKES_MOBILE_HOME_WUP__2043</vt:lpstr>
      <vt:lpstr>PASCO_ORCHID_LAKE_UTILITIES_WUP__99915</vt:lpstr>
      <vt:lpstr>PASCO_PARRISH_PROPERTIES_V_LLC_WUP__8491</vt:lpstr>
      <vt:lpstr>PASCO_PASCO_COUNTY_UTILITIES_WUP__11863</vt:lpstr>
      <vt:lpstr>PASCO_SOUTHFORK_MOBILE_HOME_COMM_WUP__9666</vt:lpstr>
      <vt:lpstr>PASCO_TIPPECANOE_VILLAGE_HOMEOWNERS_WUP__3528</vt:lpstr>
      <vt:lpstr>PASCO_TRAVLERS_REST_RESORT_INC._WUP__923</vt:lpstr>
      <vt:lpstr>PASCO_UTILITIES__INC._WUP__3590</vt:lpstr>
      <vt:lpstr>PASCO_UTILITIES__INC._WUP__4668</vt:lpstr>
      <vt:lpstr>PASCO_UTILITIES__INC._WUP__6867</vt:lpstr>
      <vt:lpstr>PERMPPH</vt:lpstr>
      <vt:lpstr>PINELLAS_CITY_OF_CLEARWATER_WATER_DIV_WUP__2981</vt:lpstr>
      <vt:lpstr>PINELLAS_CITY_OF_DUNEDIN_WUP__2980</vt:lpstr>
      <vt:lpstr>PINELLAS_CITY_OF_GULFPORT_WUP__10795</vt:lpstr>
      <vt:lpstr>PINELLAS_CITY_OF_OLDSMAR_WUP__11218</vt:lpstr>
      <vt:lpstr>PINELLAS_CITY_OF_PINELLAS_PARK_WUP__12351</vt:lpstr>
      <vt:lpstr>PINELLAS_CITY_OF_SAFETY_HARBOR_WUP__11245</vt:lpstr>
      <vt:lpstr>PINELLAS_CITY_OF_ST._PETERSBURG_WUP__20143</vt:lpstr>
      <vt:lpstr>PINELLAS_CITY_OF_TARPON_SPRINGS_WUP__742</vt:lpstr>
      <vt:lpstr>PINELLAS_PINELLAS_COUNTY_UTILITIES_WUP__20142</vt:lpstr>
      <vt:lpstr>PINELLAS_TOWN_OF_BELLEAIR_WUP__7692</vt:lpstr>
      <vt:lpstr>PINELLAS_UTILITIES__INC._WUP__10350</vt:lpstr>
      <vt:lpstr>POLK_ALAFIA_PRESERVE__EAGLE_RIDGE__AND_DONALDSON_KNOLL_WUP__12964</vt:lpstr>
      <vt:lpstr>POLK_AQUA_UTILITIES_FLORIDA__INC._WUP__7653</vt:lpstr>
      <vt:lpstr>POLK_AQUA_UTILITIES_FLORIDA__INC._WUP__7878</vt:lpstr>
      <vt:lpstr>POLK_AQUA_UTILITIES_FLORIDA__INC._WUP__9336</vt:lpstr>
      <vt:lpstr>POLK_CAREFREE_RV_COUNTRY_CLUB_WUP__7328</vt:lpstr>
      <vt:lpstr>POLK_CHCVII__LAKE_HENRY_MHP_WUP__7187</vt:lpstr>
      <vt:lpstr>POLK_CITY_OF_AUBURNDALE_WUP__7119</vt:lpstr>
      <vt:lpstr>POLK_CITY_OF_BARTOW_WUP__341</vt:lpstr>
      <vt:lpstr>POLK_CITY_OF_DAVENPORT_WUP__5750</vt:lpstr>
      <vt:lpstr>POLK_CITY_OF_EAGLE_LAKE_WUP__6920</vt:lpstr>
      <vt:lpstr>POLK_CITY_OF_FORT_MEADE_WUP__645</vt:lpstr>
      <vt:lpstr>POLK_CITY_OF_FROSTPROOF_WUP__5870</vt:lpstr>
      <vt:lpstr>POLK_CITY_OF_HAINES_CITY_WUP__8522</vt:lpstr>
      <vt:lpstr>POLK_CITY_OF_LAKE_ALFRED_WUP__6624</vt:lpstr>
      <vt:lpstr>POLK_CITY_OF_LAKE_WALES_WUP__4658</vt:lpstr>
      <vt:lpstr>POLK_CITY_OF_LAKELAND_ELECTRIC_AND_WATER_WUP__4912</vt:lpstr>
      <vt:lpstr>POLK_CITY_OF_MULBERRY_WUP__6124</vt:lpstr>
      <vt:lpstr>POLK_CITY_OF_POLK_CITY_WUP__8468</vt:lpstr>
      <vt:lpstr>POLK_CITY_OF_WINTER_HAVEN_WUP__4607</vt:lpstr>
      <vt:lpstr>POLK_CMH_PARKS_INC_WUP__4441</vt:lpstr>
      <vt:lpstr>POLK_CMH_PARKS_INC_WUP__7333</vt:lpstr>
      <vt:lpstr>POLK_FOUR_LAKES_MOBILE_HOME_PARK_WUP__1625</vt:lpstr>
      <vt:lpstr>POLK_GRENELEFE_RESORT_UTILITY__INC._WUP__5251</vt:lpstr>
      <vt:lpstr>POLK_KEEN_UTILITIES_WUP__2083</vt:lpstr>
      <vt:lpstr>POLK_KEEN_UTILITIES_WUP__3214</vt:lpstr>
      <vt:lpstr>POLK_KEEN_UTILITIES_WUP__6679</vt:lpstr>
      <vt:lpstr>POLK_KEEN_UTILITIES_WUP__9569</vt:lpstr>
      <vt:lpstr>POLK_LAKE_REGION_MOBILE_HOMEOWNERS_WUP__1616</vt:lpstr>
      <vt:lpstr>POLK_LAKEMONT_RIDGE_LLC_WUP__7557</vt:lpstr>
      <vt:lpstr>POLK_LELYNN_RV_RESORT_WUP__587</vt:lpstr>
      <vt:lpstr>POLK_MOUNTAIN_LAKE_CORPORATION_WUP__143</vt:lpstr>
      <vt:lpstr>POLK_MOUSE_MOUNTAIN_RV_RESORT_WUP__8285</vt:lpstr>
      <vt:lpstr>POLK_ORCHID_SPRINGS_DEVELOPMENT_WUP__3415</vt:lpstr>
      <vt:lpstr>POLK_PARK_WATER_COMPANY_WUP__4005</vt:lpstr>
      <vt:lpstr>POLK_PINECREST_RANCHES_WUP__9128</vt:lpstr>
      <vt:lpstr>POLK_PLANTATION_LANDINGS_MHP_WUP__8753</vt:lpstr>
      <vt:lpstr>POLK_POLK_COUNTY_UTILITIES_WUP__10141</vt:lpstr>
      <vt:lpstr>POLK_POLK_COUNTY_UTILITIES_WUP__6505</vt:lpstr>
      <vt:lpstr>POLK_POLK_COUNTY_UTILITIES_WUP__6506</vt:lpstr>
      <vt:lpstr>POLK_POLK_COUNTY_UTILITIES_WUP__6507</vt:lpstr>
      <vt:lpstr>POLK_POLK_COUNTY_UTILITIES_WUP__6508</vt:lpstr>
      <vt:lpstr>POLK_POLK_COUNTY_UTILITIES_WUP__6509</vt:lpstr>
      <vt:lpstr>POLK_POLK_COUNTY_UTILITIES_WUP__8054</vt:lpstr>
      <vt:lpstr>POLK_S._V._UTILITIES__LTD._WUP__8344</vt:lpstr>
      <vt:lpstr>POLK_SADDLEBAG_LAKE_OWNERS_WUP__6174</vt:lpstr>
      <vt:lpstr>POLK_SCENIC_VIEW_MOBILE_HOME_PARK_WUP__2410</vt:lpstr>
      <vt:lpstr>POLK_SKYVIEW_UTILITIES_WUP__99905</vt:lpstr>
      <vt:lpstr>POLK_SPRV_LTD_WUP__9557</vt:lpstr>
      <vt:lpstr>POLK_SWEETWATER_CO_OP_WUP__8967</vt:lpstr>
      <vt:lpstr>POLK_SWEETWATER_EAST_INVESTMENT_CO_WUP__2449</vt:lpstr>
      <vt:lpstr>POLK_TEVALO_INC_WUP__7172</vt:lpstr>
      <vt:lpstr>POLK_THREE_WORLDS_LIMITED_PARTNERSHIP_WUP__8399</vt:lpstr>
      <vt:lpstr>POLK_TOWN_OF_DUNDEE_WUP__5893</vt:lpstr>
      <vt:lpstr>POLK_TOWN_OF_LAKE_HAMILTON_WUP__2332</vt:lpstr>
      <vt:lpstr>POLK_UTILITIES__INC._WUP__13043</vt:lpstr>
      <vt:lpstr>POLK_VAN_LAKES_HOMEOWNERS_ASSOCIATION_WUP__9835</vt:lpstr>
      <vt:lpstr>POLK_VILLAGE_OF_HIGHLAND_PARK_WUP__9807</vt:lpstr>
      <vt:lpstr>POLK_WHISPERING_PINES_OF_FROSTPROOF_LLC_WUP__6208</vt:lpstr>
      <vt:lpstr>POPTMINUS1</vt:lpstr>
      <vt:lpstr>POPTMINUS2</vt:lpstr>
      <vt:lpstr>POPTMINUS3</vt:lpstr>
      <vt:lpstr>POPTMINUS4</vt:lpstr>
      <vt:lpstr>'G-Functional Tourist Population'!Print_Area</vt:lpstr>
      <vt:lpstr>'Index A-Residential Account'!Print_Area</vt:lpstr>
      <vt:lpstr>PopulationServed!Print_Area</vt:lpstr>
      <vt:lpstr>'G-Functional Tourist Population'!Print_Titles</vt:lpstr>
      <vt:lpstr>ROOMS</vt:lpstr>
      <vt:lpstr>SARASOTA_CAMELOT_COMMUNITIES_MHP_LLC_WUP__5807</vt:lpstr>
      <vt:lpstr>SARASOTA_CITY_OF_NORTH_PORT_WUP__2923</vt:lpstr>
      <vt:lpstr>SARASOTA_CITY_OF_SARASOTA_WUP__4318</vt:lpstr>
      <vt:lpstr>SARASOTA_CITY_OF_VENICE_WUP__5393</vt:lpstr>
      <vt:lpstr>SARASOTA_ENGLEWOOD_WATER_DISTRICT_WUP__4866</vt:lpstr>
      <vt:lpstr>SARASOTA_JEROME___FREDERICK_ELLIS_WUP__5456</vt:lpstr>
      <vt:lpstr>SARASOTA_PLURIS_SOUTH_GATE_UTILITIES_WUP__99914</vt:lpstr>
      <vt:lpstr>SARASOTA_ROYALTY_RESORTS_CORPORATION_WUP__7448</vt:lpstr>
      <vt:lpstr>SARASOTA_SARASOTA_COUNTY_BOCC_UTILITIES_DEPARTMENT_WUP__8836</vt:lpstr>
      <vt:lpstr>SEARCH_FIELD</vt:lpstr>
      <vt:lpstr>SEAS_TOTHH</vt:lpstr>
      <vt:lpstr>SEASADJ</vt:lpstr>
      <vt:lpstr>SEASHH</vt:lpstr>
      <vt:lpstr>SEASPPH</vt:lpstr>
      <vt:lpstr>SEASPROP</vt:lpstr>
      <vt:lpstr>SEASRR</vt:lpstr>
      <vt:lpstr>SUMTER_CEDAR_ACRES_INC._WUP__7799</vt:lpstr>
      <vt:lpstr>SUMTER_CITY_OF_BUSHNELL_WUP__6519</vt:lpstr>
      <vt:lpstr>SUMTER_CITY_OF_CENTER_HILL_WUP__8193</vt:lpstr>
      <vt:lpstr>SUMTER_CITY_OF_COLEMAN_WUP__10488</vt:lpstr>
      <vt:lpstr>SUMTER_CITY_OF_WEBSTER_WUP__7185</vt:lpstr>
      <vt:lpstr>SUMTER_CITY_OF_WILDWOOD_WUP__8135</vt:lpstr>
      <vt:lpstr>SUMTER_FLORIDA_GRANDE_MOTOR_COACH_RESORT_WUP__13123</vt:lpstr>
      <vt:lpstr>SUMTER_LAKE_PANASOFFKEE_WATER_ASSOCIATION_WUP__1368</vt:lpstr>
      <vt:lpstr>SUMTER_THE_VILLAGES_COMBINED_WUP__13005</vt:lpstr>
      <vt:lpstr>UniqueID</vt:lpstr>
      <vt:lpstr>Utility_Name</vt:lpstr>
      <vt:lpstr>WUP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Pearson</dc:creator>
  <cp:lastModifiedBy>Ryan J. Pearson</cp:lastModifiedBy>
  <cp:lastPrinted>2014-02-25T17:00:52Z</cp:lastPrinted>
  <dcterms:created xsi:type="dcterms:W3CDTF">2004-11-15T21:54:08Z</dcterms:created>
  <dcterms:modified xsi:type="dcterms:W3CDTF">2023-02-15T14:44:43Z</dcterms:modified>
</cp:coreProperties>
</file>